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tilsynetno.sharepoint.com/sites/ForsikringsforumUTV/Delte dokumenter/General/Pensjonskasser solvenskapitalkrav/Rapporteringsregneark og veiledning/"/>
    </mc:Choice>
  </mc:AlternateContent>
  <xr:revisionPtr revIDLastSave="4" documentId="8_{2EC6CF7C-BADC-40A8-B638-4D4968200ABD}" xr6:coauthVersionLast="47" xr6:coauthVersionMax="47" xr10:uidLastSave="{80108D47-E009-4B98-9C55-2F07FFA0B2FF}"/>
  <bookViews>
    <workbookView xWindow="-110" yWindow="-110" windowWidth="19420" windowHeight="11500" tabRatio="895" xr2:uid="{00000000-000D-0000-FFFF-FFFF00000000}"/>
  </bookViews>
  <sheets>
    <sheet name="SOLVENSKAPITALDEKNING" sheetId="6" r:id="rId1"/>
    <sheet name="Markedsrisiko" sheetId="9" r:id="rId2"/>
    <sheet name="Livsforsikringsrisiko" sheetId="18" r:id="rId3"/>
    <sheet name="Helseforsikringsrisiko" sheetId="20" r:id="rId4"/>
    <sheet name="Motpartsrisiko" sheetId="19" r:id="rId5"/>
    <sheet name="Operasjonell risiko" sheetId="17" r:id="rId6"/>
    <sheet name="Beste estimat og risikomargin" sheetId="16" r:id="rId7"/>
    <sheet name="Ansvarlig kapital" sheetId="22" r:id="rId8"/>
    <sheet name="Vedlegg 1 - Rentekurve" sheetId="11" r:id="rId9"/>
    <sheet name="Vedlegg2 - Alternativ beregning" sheetId="12" r:id="rId10"/>
    <sheet name="Vedlegg 3 - Forutsetninger" sheetId="21" r:id="rId11"/>
  </sheets>
  <definedNames>
    <definedName name="Rating">Markedsrisiko!#REF!</definedName>
    <definedName name="_xlnm.Print_Area" localSheetId="7">'Ansvarlig kapital'!$A$1:$G$41</definedName>
    <definedName name="_xlnm.Print_Area" localSheetId="6">'Beste estimat og risikomargin'!$A$1:$L$25</definedName>
    <definedName name="_xlnm.Print_Area" localSheetId="3">Helseforsikringsrisiko!$A$1:$I$10</definedName>
    <definedName name="_xlnm.Print_Area" localSheetId="1">Markedsrisiko!$A$1:$O$284</definedName>
    <definedName name="_xlnm.Print_Area" localSheetId="4">Motpartsrisiko!$A$1:$T$184</definedName>
    <definedName name="_xlnm.Print_Area" localSheetId="10">'Vedlegg 3 - Forutsetninger'!$A$1:$K$36</definedName>
    <definedName name="_xlnm.Print_Area" localSheetId="9">'Vedlegg2 - Alternativ beregning'!$A$1:$I$679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6" i="9" l="1"/>
  <c r="I33" i="22"/>
  <c r="F126" i="9"/>
  <c r="C674" i="12" l="1"/>
  <c r="G673" i="12"/>
  <c r="H673" i="12" s="1"/>
  <c r="F673" i="12"/>
  <c r="D673" i="12"/>
  <c r="E673" i="12" s="1"/>
  <c r="G672" i="12"/>
  <c r="H672" i="12" s="1"/>
  <c r="F672" i="12"/>
  <c r="D672" i="12"/>
  <c r="E672" i="12" s="1"/>
  <c r="G671" i="12"/>
  <c r="H671" i="12" s="1"/>
  <c r="F671" i="12"/>
  <c r="D671" i="12"/>
  <c r="E671" i="12" s="1"/>
  <c r="G670" i="12"/>
  <c r="H670" i="12" s="1"/>
  <c r="F670" i="12"/>
  <c r="D670" i="12"/>
  <c r="E670" i="12" s="1"/>
  <c r="G669" i="12"/>
  <c r="H669" i="12" s="1"/>
  <c r="F669" i="12"/>
  <c r="D669" i="12"/>
  <c r="E669" i="12" s="1"/>
  <c r="G668" i="12"/>
  <c r="H668" i="12" s="1"/>
  <c r="F668" i="12"/>
  <c r="D668" i="12"/>
  <c r="E668" i="12" s="1"/>
  <c r="G667" i="12"/>
  <c r="H667" i="12" s="1"/>
  <c r="F667" i="12"/>
  <c r="D667" i="12"/>
  <c r="E667" i="12" s="1"/>
  <c r="G666" i="12"/>
  <c r="H666" i="12" s="1"/>
  <c r="F666" i="12"/>
  <c r="D666" i="12"/>
  <c r="E666" i="12" s="1"/>
  <c r="G665" i="12"/>
  <c r="H665" i="12" s="1"/>
  <c r="F665" i="12"/>
  <c r="D665" i="12"/>
  <c r="E665" i="12" s="1"/>
  <c r="G664" i="12"/>
  <c r="H664" i="12" s="1"/>
  <c r="F664" i="12"/>
  <c r="D664" i="12"/>
  <c r="E664" i="12" s="1"/>
  <c r="G663" i="12"/>
  <c r="H663" i="12" s="1"/>
  <c r="F663" i="12"/>
  <c r="D663" i="12"/>
  <c r="E663" i="12" s="1"/>
  <c r="G662" i="12"/>
  <c r="H662" i="12" s="1"/>
  <c r="F662" i="12"/>
  <c r="D662" i="12"/>
  <c r="E662" i="12" s="1"/>
  <c r="G661" i="12"/>
  <c r="H661" i="12" s="1"/>
  <c r="F661" i="12"/>
  <c r="D661" i="12"/>
  <c r="E661" i="12" s="1"/>
  <c r="G660" i="12"/>
  <c r="H660" i="12" s="1"/>
  <c r="F660" i="12"/>
  <c r="D660" i="12"/>
  <c r="E660" i="12" s="1"/>
  <c r="G659" i="12"/>
  <c r="H659" i="12" s="1"/>
  <c r="F659" i="12"/>
  <c r="D659" i="12"/>
  <c r="E659" i="12" s="1"/>
  <c r="G658" i="12"/>
  <c r="H658" i="12" s="1"/>
  <c r="F658" i="12"/>
  <c r="D658" i="12"/>
  <c r="E658" i="12" s="1"/>
  <c r="G657" i="12"/>
  <c r="H657" i="12" s="1"/>
  <c r="F657" i="12"/>
  <c r="D657" i="12"/>
  <c r="E657" i="12" s="1"/>
  <c r="G656" i="12"/>
  <c r="H656" i="12" s="1"/>
  <c r="F656" i="12"/>
  <c r="D656" i="12"/>
  <c r="E656" i="12" s="1"/>
  <c r="G655" i="12"/>
  <c r="H655" i="12" s="1"/>
  <c r="F655" i="12"/>
  <c r="D655" i="12"/>
  <c r="E655" i="12" s="1"/>
  <c r="G654" i="12"/>
  <c r="H654" i="12" s="1"/>
  <c r="F654" i="12"/>
  <c r="D654" i="12"/>
  <c r="E654" i="12" s="1"/>
  <c r="G653" i="12"/>
  <c r="H653" i="12" s="1"/>
  <c r="F653" i="12"/>
  <c r="D653" i="12"/>
  <c r="E653" i="12" s="1"/>
  <c r="G652" i="12"/>
  <c r="H652" i="12" s="1"/>
  <c r="F652" i="12"/>
  <c r="D652" i="12"/>
  <c r="E652" i="12" s="1"/>
  <c r="G651" i="12"/>
  <c r="H651" i="12" s="1"/>
  <c r="F651" i="12"/>
  <c r="D651" i="12"/>
  <c r="E651" i="12" s="1"/>
  <c r="G650" i="12"/>
  <c r="H650" i="12" s="1"/>
  <c r="F650" i="12"/>
  <c r="D650" i="12"/>
  <c r="E650" i="12" s="1"/>
  <c r="G649" i="12"/>
  <c r="H649" i="12" s="1"/>
  <c r="F649" i="12"/>
  <c r="D649" i="12"/>
  <c r="E649" i="12" s="1"/>
  <c r="G648" i="12"/>
  <c r="H648" i="12" s="1"/>
  <c r="F648" i="12"/>
  <c r="D648" i="12"/>
  <c r="E648" i="12" s="1"/>
  <c r="G647" i="12"/>
  <c r="H647" i="12" s="1"/>
  <c r="F647" i="12"/>
  <c r="D647" i="12"/>
  <c r="E647" i="12" s="1"/>
  <c r="G646" i="12"/>
  <c r="H646" i="12" s="1"/>
  <c r="F646" i="12"/>
  <c r="D646" i="12"/>
  <c r="E646" i="12" s="1"/>
  <c r="G645" i="12"/>
  <c r="H645" i="12" s="1"/>
  <c r="F645" i="12"/>
  <c r="D645" i="12"/>
  <c r="E645" i="12" s="1"/>
  <c r="G644" i="12"/>
  <c r="H644" i="12" s="1"/>
  <c r="F644" i="12"/>
  <c r="D644" i="12"/>
  <c r="E644" i="12" s="1"/>
  <c r="H472" i="12"/>
  <c r="G472" i="12"/>
  <c r="H471" i="12"/>
  <c r="G471" i="12"/>
  <c r="H470" i="12"/>
  <c r="G470" i="12"/>
  <c r="H469" i="12"/>
  <c r="G469" i="12"/>
  <c r="H468" i="12"/>
  <c r="G468" i="12"/>
  <c r="H467" i="12"/>
  <c r="G467" i="12"/>
  <c r="H466" i="12"/>
  <c r="G466" i="12"/>
  <c r="H465" i="12"/>
  <c r="G465" i="12"/>
  <c r="H464" i="12"/>
  <c r="G464" i="12"/>
  <c r="H463" i="12"/>
  <c r="G463" i="12"/>
  <c r="H462" i="12"/>
  <c r="G462" i="12"/>
  <c r="H461" i="12"/>
  <c r="G461" i="12"/>
  <c r="H460" i="12"/>
  <c r="G460" i="12"/>
  <c r="H459" i="12"/>
  <c r="G459" i="12"/>
  <c r="H458" i="12"/>
  <c r="G458" i="12"/>
  <c r="H457" i="12"/>
  <c r="G457" i="12"/>
  <c r="H456" i="12"/>
  <c r="G456" i="12"/>
  <c r="H455" i="12"/>
  <c r="G455" i="12"/>
  <c r="H454" i="12"/>
  <c r="G454" i="12"/>
  <c r="H453" i="12"/>
  <c r="G453" i="12"/>
  <c r="H452" i="12"/>
  <c r="G452" i="12"/>
  <c r="H451" i="12"/>
  <c r="G451" i="12"/>
  <c r="H450" i="12"/>
  <c r="G450" i="12"/>
  <c r="H449" i="12"/>
  <c r="G449" i="12"/>
  <c r="H448" i="12"/>
  <c r="G448" i="12"/>
  <c r="H447" i="12"/>
  <c r="G447" i="12"/>
  <c r="H446" i="12"/>
  <c r="G446" i="12"/>
  <c r="H445" i="12"/>
  <c r="G445" i="12"/>
  <c r="H444" i="12"/>
  <c r="G444" i="12"/>
  <c r="H443" i="12"/>
  <c r="G443" i="12"/>
  <c r="F407" i="12"/>
  <c r="E407" i="12"/>
  <c r="D407" i="12"/>
  <c r="D537" i="12" s="1"/>
  <c r="F406" i="12"/>
  <c r="E406" i="12"/>
  <c r="E536" i="12" s="1"/>
  <c r="D406" i="12"/>
  <c r="F405" i="12"/>
  <c r="E405" i="12"/>
  <c r="D405" i="12"/>
  <c r="D535" i="12" s="1"/>
  <c r="F404" i="12"/>
  <c r="E404" i="12"/>
  <c r="E534" i="12" s="1"/>
  <c r="D404" i="12"/>
  <c r="F403" i="12"/>
  <c r="E403" i="12"/>
  <c r="D403" i="12"/>
  <c r="D533" i="12" s="1"/>
  <c r="F402" i="12"/>
  <c r="E402" i="12"/>
  <c r="E532" i="12" s="1"/>
  <c r="D402" i="12"/>
  <c r="F401" i="12"/>
  <c r="E401" i="12"/>
  <c r="D401" i="12"/>
  <c r="D531" i="12" s="1"/>
  <c r="F400" i="12"/>
  <c r="E400" i="12"/>
  <c r="E530" i="12" s="1"/>
  <c r="D400" i="12"/>
  <c r="F399" i="12"/>
  <c r="E399" i="12"/>
  <c r="D399" i="12"/>
  <c r="D529" i="12" s="1"/>
  <c r="F398" i="12"/>
  <c r="E398" i="12"/>
  <c r="E528" i="12" s="1"/>
  <c r="D398" i="12"/>
  <c r="F397" i="12"/>
  <c r="E397" i="12"/>
  <c r="D397" i="12"/>
  <c r="D527" i="12" s="1"/>
  <c r="F396" i="12"/>
  <c r="E396" i="12"/>
  <c r="E526" i="12" s="1"/>
  <c r="D396" i="12"/>
  <c r="F395" i="12"/>
  <c r="E395" i="12"/>
  <c r="D395" i="12"/>
  <c r="D525" i="12" s="1"/>
  <c r="F394" i="12"/>
  <c r="E394" i="12"/>
  <c r="E524" i="12" s="1"/>
  <c r="D394" i="12"/>
  <c r="F393" i="12"/>
  <c r="E393" i="12"/>
  <c r="D393" i="12"/>
  <c r="D523" i="12" s="1"/>
  <c r="F392" i="12"/>
  <c r="E392" i="12"/>
  <c r="E522" i="12" s="1"/>
  <c r="D392" i="12"/>
  <c r="F391" i="12"/>
  <c r="E391" i="12"/>
  <c r="D391" i="12"/>
  <c r="D521" i="12" s="1"/>
  <c r="F390" i="12"/>
  <c r="E390" i="12"/>
  <c r="E520" i="12" s="1"/>
  <c r="D390" i="12"/>
  <c r="F389" i="12"/>
  <c r="E389" i="12"/>
  <c r="D389" i="12"/>
  <c r="D519" i="12" s="1"/>
  <c r="F388" i="12"/>
  <c r="E388" i="12"/>
  <c r="E518" i="12" s="1"/>
  <c r="D388" i="12"/>
  <c r="F387" i="12"/>
  <c r="E387" i="12"/>
  <c r="D387" i="12"/>
  <c r="D517" i="12" s="1"/>
  <c r="F386" i="12"/>
  <c r="E386" i="12"/>
  <c r="E516" i="12" s="1"/>
  <c r="D386" i="12"/>
  <c r="F385" i="12"/>
  <c r="E385" i="12"/>
  <c r="D385" i="12"/>
  <c r="D515" i="12" s="1"/>
  <c r="F384" i="12"/>
  <c r="E384" i="12"/>
  <c r="E514" i="12" s="1"/>
  <c r="D384" i="12"/>
  <c r="F383" i="12"/>
  <c r="E383" i="12"/>
  <c r="D383" i="12"/>
  <c r="D513" i="12" s="1"/>
  <c r="F382" i="12"/>
  <c r="E382" i="12"/>
  <c r="E512" i="12" s="1"/>
  <c r="D382" i="12"/>
  <c r="D512" i="12" s="1"/>
  <c r="F381" i="12"/>
  <c r="E381" i="12"/>
  <c r="E511" i="12" s="1"/>
  <c r="D381" i="12"/>
  <c r="D511" i="12" s="1"/>
  <c r="F380" i="12"/>
  <c r="E380" i="12"/>
  <c r="E510" i="12" s="1"/>
  <c r="D380" i="12"/>
  <c r="D510" i="12" s="1"/>
  <c r="F379" i="12"/>
  <c r="E379" i="12"/>
  <c r="E509" i="12" s="1"/>
  <c r="D379" i="12"/>
  <c r="D509" i="12" s="1"/>
  <c r="F378" i="12"/>
  <c r="E378" i="12"/>
  <c r="E508" i="12" s="1"/>
  <c r="D378" i="12"/>
  <c r="D508" i="12" s="1"/>
  <c r="F201" i="12"/>
  <c r="F267" i="12" s="1"/>
  <c r="E201" i="12"/>
  <c r="E267" i="12" s="1"/>
  <c r="D201" i="12"/>
  <c r="D267" i="12" s="1"/>
  <c r="F200" i="12"/>
  <c r="F266" i="12" s="1"/>
  <c r="E200" i="12"/>
  <c r="E266" i="12" s="1"/>
  <c r="D200" i="12"/>
  <c r="D266" i="12" s="1"/>
  <c r="F199" i="12"/>
  <c r="F265" i="12" s="1"/>
  <c r="E199" i="12"/>
  <c r="E265" i="12" s="1"/>
  <c r="D199" i="12"/>
  <c r="D265" i="12" s="1"/>
  <c r="F198" i="12"/>
  <c r="F264" i="12" s="1"/>
  <c r="E198" i="12"/>
  <c r="E264" i="12" s="1"/>
  <c r="D198" i="12"/>
  <c r="D264" i="12" s="1"/>
  <c r="F197" i="12"/>
  <c r="F263" i="12" s="1"/>
  <c r="E197" i="12"/>
  <c r="E263" i="12" s="1"/>
  <c r="D197" i="12"/>
  <c r="D263" i="12" s="1"/>
  <c r="F196" i="12"/>
  <c r="F262" i="12" s="1"/>
  <c r="E196" i="12"/>
  <c r="E262" i="12" s="1"/>
  <c r="D196" i="12"/>
  <c r="D262" i="12" s="1"/>
  <c r="F195" i="12"/>
  <c r="F261" i="12" s="1"/>
  <c r="E195" i="12"/>
  <c r="E261" i="12" s="1"/>
  <c r="D195" i="12"/>
  <c r="D261" i="12" s="1"/>
  <c r="F194" i="12"/>
  <c r="F260" i="12" s="1"/>
  <c r="E194" i="12"/>
  <c r="E260" i="12" s="1"/>
  <c r="D194" i="12"/>
  <c r="D260" i="12" s="1"/>
  <c r="F193" i="12"/>
  <c r="F259" i="12" s="1"/>
  <c r="E193" i="12"/>
  <c r="E259" i="12" s="1"/>
  <c r="D193" i="12"/>
  <c r="D259" i="12" s="1"/>
  <c r="F192" i="12"/>
  <c r="F258" i="12" s="1"/>
  <c r="E192" i="12"/>
  <c r="E258" i="12" s="1"/>
  <c r="D192" i="12"/>
  <c r="D258" i="12" s="1"/>
  <c r="F191" i="12"/>
  <c r="F257" i="12" s="1"/>
  <c r="E191" i="12"/>
  <c r="E257" i="12" s="1"/>
  <c r="D191" i="12"/>
  <c r="D257" i="12" s="1"/>
  <c r="F190" i="12"/>
  <c r="F256" i="12" s="1"/>
  <c r="E190" i="12"/>
  <c r="E256" i="12" s="1"/>
  <c r="D190" i="12"/>
  <c r="D256" i="12" s="1"/>
  <c r="F189" i="12"/>
  <c r="F255" i="12" s="1"/>
  <c r="E189" i="12"/>
  <c r="E255" i="12" s="1"/>
  <c r="D189" i="12"/>
  <c r="D255" i="12" s="1"/>
  <c r="F188" i="12"/>
  <c r="F254" i="12" s="1"/>
  <c r="E188" i="12"/>
  <c r="E254" i="12" s="1"/>
  <c r="D188" i="12"/>
  <c r="D254" i="12" s="1"/>
  <c r="F187" i="12"/>
  <c r="F253" i="12" s="1"/>
  <c r="E187" i="12"/>
  <c r="E253" i="12" s="1"/>
  <c r="D187" i="12"/>
  <c r="D253" i="12" s="1"/>
  <c r="F186" i="12"/>
  <c r="F252" i="12" s="1"/>
  <c r="E186" i="12"/>
  <c r="E252" i="12" s="1"/>
  <c r="D186" i="12"/>
  <c r="D252" i="12" s="1"/>
  <c r="F185" i="12"/>
  <c r="F251" i="12" s="1"/>
  <c r="E185" i="12"/>
  <c r="E251" i="12" s="1"/>
  <c r="D185" i="12"/>
  <c r="D251" i="12" s="1"/>
  <c r="F184" i="12"/>
  <c r="F250" i="12" s="1"/>
  <c r="E184" i="12"/>
  <c r="E250" i="12" s="1"/>
  <c r="D184" i="12"/>
  <c r="D250" i="12" s="1"/>
  <c r="F183" i="12"/>
  <c r="F249" i="12" s="1"/>
  <c r="E183" i="12"/>
  <c r="E249" i="12" s="1"/>
  <c r="D183" i="12"/>
  <c r="D249" i="12" s="1"/>
  <c r="F182" i="12"/>
  <c r="F248" i="12" s="1"/>
  <c r="E182" i="12"/>
  <c r="E248" i="12" s="1"/>
  <c r="D182" i="12"/>
  <c r="D248" i="12" s="1"/>
  <c r="F181" i="12"/>
  <c r="F247" i="12" s="1"/>
  <c r="E181" i="12"/>
  <c r="E247" i="12" s="1"/>
  <c r="D181" i="12"/>
  <c r="D247" i="12" s="1"/>
  <c r="F180" i="12"/>
  <c r="F246" i="12" s="1"/>
  <c r="E180" i="12"/>
  <c r="E246" i="12" s="1"/>
  <c r="D180" i="12"/>
  <c r="D246" i="12" s="1"/>
  <c r="F179" i="12"/>
  <c r="F245" i="12" s="1"/>
  <c r="E179" i="12"/>
  <c r="E245" i="12" s="1"/>
  <c r="D179" i="12"/>
  <c r="D245" i="12" s="1"/>
  <c r="F178" i="12"/>
  <c r="F244" i="12" s="1"/>
  <c r="E178" i="12"/>
  <c r="E244" i="12" s="1"/>
  <c r="D178" i="12"/>
  <c r="D244" i="12" s="1"/>
  <c r="F177" i="12"/>
  <c r="F243" i="12" s="1"/>
  <c r="E177" i="12"/>
  <c r="E243" i="12" s="1"/>
  <c r="D177" i="12"/>
  <c r="D243" i="12" s="1"/>
  <c r="F176" i="12"/>
  <c r="F242" i="12" s="1"/>
  <c r="E176" i="12"/>
  <c r="E242" i="12" s="1"/>
  <c r="D176" i="12"/>
  <c r="D242" i="12" s="1"/>
  <c r="F175" i="12"/>
  <c r="F241" i="12" s="1"/>
  <c r="E175" i="12"/>
  <c r="E241" i="12" s="1"/>
  <c r="D175" i="12"/>
  <c r="D241" i="12" s="1"/>
  <c r="F174" i="12"/>
  <c r="F240" i="12" s="1"/>
  <c r="E174" i="12"/>
  <c r="E240" i="12" s="1"/>
  <c r="D174" i="12"/>
  <c r="D240" i="12" s="1"/>
  <c r="F173" i="12"/>
  <c r="F239" i="12" s="1"/>
  <c r="E173" i="12"/>
  <c r="E239" i="12" s="1"/>
  <c r="D173" i="12"/>
  <c r="D239" i="12" s="1"/>
  <c r="F172" i="12"/>
  <c r="F238" i="12" s="1"/>
  <c r="E172" i="12"/>
  <c r="E238" i="12" s="1"/>
  <c r="D172" i="12"/>
  <c r="D238" i="12" s="1"/>
  <c r="F69" i="12"/>
  <c r="E69" i="12"/>
  <c r="D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F575" i="12" l="1"/>
  <c r="D577" i="12"/>
  <c r="F579" i="12"/>
  <c r="F576" i="12"/>
  <c r="F578" i="12"/>
  <c r="F580" i="12"/>
  <c r="F582" i="12"/>
  <c r="F584" i="12"/>
  <c r="F586" i="12"/>
  <c r="F588" i="12"/>
  <c r="F590" i="12"/>
  <c r="F592" i="12"/>
  <c r="F594" i="12"/>
  <c r="F596" i="12"/>
  <c r="F598" i="12"/>
  <c r="F600" i="12"/>
  <c r="F602" i="12"/>
  <c r="F604" i="12"/>
  <c r="F577" i="12"/>
  <c r="E578" i="12"/>
  <c r="E513" i="12"/>
  <c r="E580" i="12"/>
  <c r="D514" i="12"/>
  <c r="D581" i="12"/>
  <c r="F581" i="12"/>
  <c r="E515" i="12"/>
  <c r="E582" i="12"/>
  <c r="D516" i="12"/>
  <c r="D583" i="12"/>
  <c r="F583" i="12"/>
  <c r="E517" i="12"/>
  <c r="E584" i="12"/>
  <c r="D518" i="12"/>
  <c r="D585" i="12"/>
  <c r="F585" i="12"/>
  <c r="E519" i="12"/>
  <c r="E586" i="12"/>
  <c r="D520" i="12"/>
  <c r="D587" i="12"/>
  <c r="F587" i="12"/>
  <c r="E521" i="12"/>
  <c r="E588" i="12"/>
  <c r="D522" i="12"/>
  <c r="D589" i="12"/>
  <c r="F589" i="12"/>
  <c r="E523" i="12"/>
  <c r="E590" i="12"/>
  <c r="D524" i="12"/>
  <c r="D591" i="12"/>
  <c r="F591" i="12"/>
  <c r="E525" i="12"/>
  <c r="E592" i="12"/>
  <c r="D526" i="12"/>
  <c r="D593" i="12"/>
  <c r="F593" i="12"/>
  <c r="E527" i="12"/>
  <c r="E594" i="12"/>
  <c r="D528" i="12"/>
  <c r="D595" i="12"/>
  <c r="F595" i="12"/>
  <c r="E529" i="12"/>
  <c r="E596" i="12"/>
  <c r="D530" i="12"/>
  <c r="D597" i="12"/>
  <c r="F597" i="12"/>
  <c r="E531" i="12"/>
  <c r="E598" i="12"/>
  <c r="D532" i="12"/>
  <c r="D599" i="12"/>
  <c r="F599" i="12"/>
  <c r="E533" i="12"/>
  <c r="E600" i="12"/>
  <c r="D534" i="12"/>
  <c r="D601" i="12"/>
  <c r="F601" i="12"/>
  <c r="E535" i="12"/>
  <c r="E602" i="12"/>
  <c r="D536" i="12"/>
  <c r="D603" i="12"/>
  <c r="F603" i="12"/>
  <c r="E537" i="12"/>
  <c r="E604" i="12"/>
  <c r="D575" i="12"/>
  <c r="E576" i="12"/>
  <c r="D579" i="12"/>
  <c r="E575" i="12"/>
  <c r="D576" i="12"/>
  <c r="E577" i="12"/>
  <c r="D578" i="12"/>
  <c r="E579" i="12"/>
  <c r="D580" i="12"/>
  <c r="E581" i="12"/>
  <c r="D582" i="12"/>
  <c r="E583" i="12"/>
  <c r="D584" i="12"/>
  <c r="E585" i="12"/>
  <c r="D586" i="12"/>
  <c r="E587" i="12"/>
  <c r="D588" i="12"/>
  <c r="E589" i="12"/>
  <c r="D590" i="12"/>
  <c r="E591" i="12"/>
  <c r="D592" i="12"/>
  <c r="E593" i="12"/>
  <c r="D594" i="12"/>
  <c r="E595" i="12"/>
  <c r="D596" i="12"/>
  <c r="E597" i="12"/>
  <c r="D598" i="12"/>
  <c r="E599" i="12"/>
  <c r="D600" i="12"/>
  <c r="E601" i="12"/>
  <c r="D602" i="12"/>
  <c r="E603" i="12"/>
  <c r="D604" i="12"/>
  <c r="F512" i="12"/>
  <c r="F508" i="12"/>
  <c r="F509" i="12"/>
  <c r="F511" i="12"/>
  <c r="F513" i="12"/>
  <c r="F515" i="12"/>
  <c r="F517" i="12"/>
  <c r="F519" i="12"/>
  <c r="F521" i="12"/>
  <c r="F523" i="12"/>
  <c r="F525" i="12"/>
  <c r="F527" i="12"/>
  <c r="F529" i="12"/>
  <c r="F531" i="12"/>
  <c r="F533" i="12"/>
  <c r="F535" i="12"/>
  <c r="F537" i="12"/>
  <c r="F510" i="12"/>
  <c r="F514" i="12"/>
  <c r="F516" i="12"/>
  <c r="F518" i="12"/>
  <c r="F520" i="12"/>
  <c r="F522" i="12"/>
  <c r="F524" i="12"/>
  <c r="F526" i="12"/>
  <c r="F528" i="12"/>
  <c r="F530" i="12"/>
  <c r="F532" i="12"/>
  <c r="F534" i="12"/>
  <c r="F536" i="12"/>
  <c r="D319" i="12"/>
  <c r="D327" i="12"/>
  <c r="D315" i="12"/>
  <c r="D323" i="12"/>
  <c r="D331" i="12"/>
  <c r="D317" i="12"/>
  <c r="D321" i="12"/>
  <c r="D325" i="12"/>
  <c r="D329" i="12"/>
  <c r="D333" i="12"/>
  <c r="D304" i="12"/>
  <c r="D305" i="12"/>
  <c r="D306" i="12"/>
  <c r="D307" i="12"/>
  <c r="D308" i="12"/>
  <c r="D309" i="12"/>
  <c r="D310" i="12"/>
  <c r="D311" i="12"/>
  <c r="D312" i="12"/>
  <c r="D313" i="12"/>
  <c r="D314" i="12"/>
  <c r="D316" i="12"/>
  <c r="D318" i="12"/>
  <c r="D320" i="12"/>
  <c r="D322" i="12"/>
  <c r="D324" i="12"/>
  <c r="D326" i="12"/>
  <c r="D328" i="12"/>
  <c r="D330" i="12"/>
  <c r="D332" i="12"/>
  <c r="E304" i="12"/>
  <c r="E305" i="12"/>
  <c r="E306" i="12"/>
  <c r="E307" i="12"/>
  <c r="E308" i="12"/>
  <c r="E309" i="12"/>
  <c r="E310" i="12"/>
  <c r="E311" i="12"/>
  <c r="E312" i="12"/>
  <c r="E313" i="12"/>
  <c r="E314" i="12"/>
  <c r="E315" i="12"/>
  <c r="E316" i="12"/>
  <c r="E317" i="12"/>
  <c r="E318" i="12"/>
  <c r="E319" i="12"/>
  <c r="E320" i="12"/>
  <c r="E321" i="12"/>
  <c r="E322" i="12"/>
  <c r="E323" i="12"/>
  <c r="E324" i="12"/>
  <c r="E325" i="12"/>
  <c r="E326" i="12"/>
  <c r="E327" i="12"/>
  <c r="E328" i="12"/>
  <c r="E329" i="12"/>
  <c r="E330" i="12"/>
  <c r="E331" i="12"/>
  <c r="E332" i="12"/>
  <c r="E333" i="12"/>
  <c r="G239" i="12"/>
  <c r="G241" i="12"/>
  <c r="G243" i="12"/>
  <c r="G245" i="12"/>
  <c r="G247" i="12"/>
  <c r="G249" i="12"/>
  <c r="G251" i="12"/>
  <c r="G253" i="12"/>
  <c r="G255" i="12"/>
  <c r="G257" i="12"/>
  <c r="G259" i="12"/>
  <c r="G261" i="12"/>
  <c r="G263" i="12"/>
  <c r="G265" i="12"/>
  <c r="G267" i="12"/>
  <c r="G238" i="12"/>
  <c r="G240" i="12"/>
  <c r="G242" i="12"/>
  <c r="G244" i="12"/>
  <c r="G246" i="12"/>
  <c r="G248" i="12"/>
  <c r="G250" i="12"/>
  <c r="G252" i="12"/>
  <c r="G254" i="12"/>
  <c r="G256" i="12"/>
  <c r="G258" i="12"/>
  <c r="G260" i="12"/>
  <c r="G262" i="12"/>
  <c r="G264" i="12"/>
  <c r="G266" i="12"/>
  <c r="G172" i="12"/>
  <c r="G174" i="12"/>
  <c r="G176" i="12"/>
  <c r="G178" i="12"/>
  <c r="G180" i="12"/>
  <c r="G182" i="12"/>
  <c r="G184" i="12"/>
  <c r="G186" i="12"/>
  <c r="G188" i="12"/>
  <c r="G190" i="12"/>
  <c r="G192" i="12"/>
  <c r="G194" i="12"/>
  <c r="G196" i="12"/>
  <c r="G198" i="12"/>
  <c r="G200" i="12"/>
  <c r="G173" i="12"/>
  <c r="G175" i="12"/>
  <c r="G177" i="12"/>
  <c r="G179" i="12"/>
  <c r="G181" i="12"/>
  <c r="G183" i="12"/>
  <c r="G185" i="12"/>
  <c r="G187" i="12"/>
  <c r="G189" i="12"/>
  <c r="G191" i="12"/>
  <c r="G193" i="12"/>
  <c r="G195" i="12"/>
  <c r="G197" i="12"/>
  <c r="G199" i="12"/>
  <c r="G201" i="12"/>
  <c r="G199" i="9" l="1"/>
  <c r="J111" i="19"/>
  <c r="J110" i="19"/>
  <c r="J109" i="19"/>
  <c r="J108" i="19"/>
  <c r="J107" i="19"/>
  <c r="J106" i="19"/>
  <c r="J105" i="19"/>
  <c r="J104" i="19"/>
  <c r="J103" i="19"/>
  <c r="J102" i="19"/>
  <c r="J101" i="19"/>
  <c r="J100" i="19"/>
  <c r="J99" i="19"/>
  <c r="J98" i="19"/>
  <c r="J97" i="19"/>
  <c r="J96" i="19"/>
  <c r="J95" i="19"/>
  <c r="J94" i="19"/>
  <c r="J93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E142" i="12" l="1"/>
  <c r="I180" i="19" l="1"/>
  <c r="F185" i="9"/>
  <c r="E15" i="16" l="1"/>
  <c r="G10" i="16" l="1"/>
  <c r="F643" i="12" l="1"/>
  <c r="F642" i="12"/>
  <c r="F641" i="12"/>
  <c r="F640" i="12"/>
  <c r="F639" i="12"/>
  <c r="F638" i="12"/>
  <c r="F637" i="12"/>
  <c r="F636" i="12"/>
  <c r="F635" i="12"/>
  <c r="F634" i="12"/>
  <c r="F633" i="12"/>
  <c r="F632" i="12"/>
  <c r="F631" i="12"/>
  <c r="F630" i="12"/>
  <c r="F629" i="12"/>
  <c r="F628" i="12"/>
  <c r="F627" i="12"/>
  <c r="F626" i="12"/>
  <c r="F625" i="12"/>
  <c r="F624" i="12"/>
  <c r="F623" i="12"/>
  <c r="F622" i="12"/>
  <c r="F621" i="12"/>
  <c r="F620" i="12"/>
  <c r="F619" i="12"/>
  <c r="F618" i="12"/>
  <c r="F617" i="12"/>
  <c r="F616" i="12"/>
  <c r="F615" i="12"/>
  <c r="F614" i="12"/>
  <c r="F377" i="12"/>
  <c r="E377" i="12"/>
  <c r="D377" i="12"/>
  <c r="D507" i="12" s="1"/>
  <c r="F376" i="12"/>
  <c r="E376" i="12"/>
  <c r="E506" i="12" s="1"/>
  <c r="D376" i="12"/>
  <c r="F375" i="12"/>
  <c r="E375" i="12"/>
  <c r="D375" i="12"/>
  <c r="D505" i="12" s="1"/>
  <c r="F374" i="12"/>
  <c r="E374" i="12"/>
  <c r="E504" i="12" s="1"/>
  <c r="D374" i="12"/>
  <c r="F373" i="12"/>
  <c r="E373" i="12"/>
  <c r="D373" i="12"/>
  <c r="D503" i="12" s="1"/>
  <c r="F372" i="12"/>
  <c r="E372" i="12"/>
  <c r="E502" i="12" s="1"/>
  <c r="D372" i="12"/>
  <c r="F371" i="12"/>
  <c r="E371" i="12"/>
  <c r="D371" i="12"/>
  <c r="D501" i="12" s="1"/>
  <c r="F370" i="12"/>
  <c r="E370" i="12"/>
  <c r="E500" i="12" s="1"/>
  <c r="D370" i="12"/>
  <c r="F369" i="12"/>
  <c r="E369" i="12"/>
  <c r="D369" i="12"/>
  <c r="D499" i="12" s="1"/>
  <c r="F368" i="12"/>
  <c r="E368" i="12"/>
  <c r="E498" i="12" s="1"/>
  <c r="D368" i="12"/>
  <c r="F367" i="12"/>
  <c r="E367" i="12"/>
  <c r="D367" i="12"/>
  <c r="D497" i="12" s="1"/>
  <c r="F366" i="12"/>
  <c r="E366" i="12"/>
  <c r="E496" i="12" s="1"/>
  <c r="D366" i="12"/>
  <c r="F365" i="12"/>
  <c r="E365" i="12"/>
  <c r="D365" i="12"/>
  <c r="D495" i="12" s="1"/>
  <c r="F364" i="12"/>
  <c r="E364" i="12"/>
  <c r="E494" i="12" s="1"/>
  <c r="D364" i="12"/>
  <c r="F363" i="12"/>
  <c r="E363" i="12"/>
  <c r="D363" i="12"/>
  <c r="D493" i="12" s="1"/>
  <c r="F362" i="12"/>
  <c r="E362" i="12"/>
  <c r="E492" i="12" s="1"/>
  <c r="D362" i="12"/>
  <c r="F361" i="12"/>
  <c r="E361" i="12"/>
  <c r="D361" i="12"/>
  <c r="D491" i="12" s="1"/>
  <c r="F360" i="12"/>
  <c r="E360" i="12"/>
  <c r="E490" i="12" s="1"/>
  <c r="D360" i="12"/>
  <c r="F359" i="12"/>
  <c r="E359" i="12"/>
  <c r="D359" i="12"/>
  <c r="D489" i="12" s="1"/>
  <c r="F358" i="12"/>
  <c r="E358" i="12"/>
  <c r="E488" i="12" s="1"/>
  <c r="D358" i="12"/>
  <c r="F357" i="12"/>
  <c r="E357" i="12"/>
  <c r="D357" i="12"/>
  <c r="D487" i="12" s="1"/>
  <c r="F356" i="12"/>
  <c r="E356" i="12"/>
  <c r="E486" i="12" s="1"/>
  <c r="D356" i="12"/>
  <c r="F355" i="12"/>
  <c r="E355" i="12"/>
  <c r="D355" i="12"/>
  <c r="D485" i="12" s="1"/>
  <c r="F354" i="12"/>
  <c r="E354" i="12"/>
  <c r="E484" i="12" s="1"/>
  <c r="D354" i="12"/>
  <c r="F353" i="12"/>
  <c r="E353" i="12"/>
  <c r="D353" i="12"/>
  <c r="D483" i="12" s="1"/>
  <c r="F352" i="12"/>
  <c r="E352" i="12"/>
  <c r="E482" i="12" s="1"/>
  <c r="D352" i="12"/>
  <c r="F351" i="12"/>
  <c r="E351" i="12"/>
  <c r="D351" i="12"/>
  <c r="D481" i="12" s="1"/>
  <c r="F350" i="12"/>
  <c r="E350" i="12"/>
  <c r="D350" i="12"/>
  <c r="F349" i="12"/>
  <c r="E349" i="12"/>
  <c r="D349" i="12"/>
  <c r="F348" i="12"/>
  <c r="E348" i="12"/>
  <c r="E478" i="12" s="1"/>
  <c r="D348" i="12"/>
  <c r="F171" i="12"/>
  <c r="F237" i="12" s="1"/>
  <c r="E171" i="12"/>
  <c r="E237" i="12" s="1"/>
  <c r="D171" i="12"/>
  <c r="D237" i="12" s="1"/>
  <c r="F170" i="12"/>
  <c r="F236" i="12" s="1"/>
  <c r="E170" i="12"/>
  <c r="E236" i="12" s="1"/>
  <c r="D170" i="12"/>
  <c r="D236" i="12" s="1"/>
  <c r="F169" i="12"/>
  <c r="F235" i="12" s="1"/>
  <c r="E169" i="12"/>
  <c r="E235" i="12" s="1"/>
  <c r="D169" i="12"/>
  <c r="D235" i="12" s="1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D142" i="12"/>
  <c r="G236" i="12" l="1"/>
  <c r="G235" i="12"/>
  <c r="G237" i="12"/>
  <c r="D202" i="12"/>
  <c r="F202" i="12"/>
  <c r="E202" i="12"/>
  <c r="D482" i="12"/>
  <c r="E483" i="12"/>
  <c r="D486" i="12"/>
  <c r="E487" i="12"/>
  <c r="D490" i="12"/>
  <c r="E491" i="12"/>
  <c r="D494" i="12"/>
  <c r="E495" i="12"/>
  <c r="D498" i="12"/>
  <c r="E499" i="12"/>
  <c r="D502" i="12"/>
  <c r="E503" i="12"/>
  <c r="D506" i="12"/>
  <c r="E507" i="12"/>
  <c r="D478" i="12"/>
  <c r="E479" i="12"/>
  <c r="E485" i="12"/>
  <c r="D488" i="12"/>
  <c r="E493" i="12"/>
  <c r="D496" i="12"/>
  <c r="E501" i="12"/>
  <c r="D504" i="12"/>
  <c r="D480" i="12"/>
  <c r="E481" i="12"/>
  <c r="D484" i="12"/>
  <c r="E489" i="12"/>
  <c r="D492" i="12"/>
  <c r="E497" i="12"/>
  <c r="D500" i="12"/>
  <c r="E505" i="12"/>
  <c r="D479" i="12"/>
  <c r="E480" i="12"/>
  <c r="F15" i="16"/>
  <c r="E538" i="12" l="1"/>
  <c r="D538" i="12"/>
  <c r="J15" i="16"/>
  <c r="I35" i="22"/>
  <c r="I34" i="22"/>
  <c r="I24" i="22" l="1"/>
  <c r="I23" i="22"/>
  <c r="I21" i="22"/>
  <c r="I20" i="22"/>
  <c r="I19" i="22"/>
  <c r="I18" i="22"/>
  <c r="I13" i="22"/>
  <c r="I12" i="22"/>
  <c r="I11" i="22"/>
  <c r="I10" i="22"/>
  <c r="I7" i="22"/>
  <c r="I6" i="22"/>
  <c r="I4" i="22"/>
  <c r="I8" i="22" l="1"/>
  <c r="L7" i="9"/>
  <c r="K7" i="9"/>
  <c r="J7" i="9"/>
  <c r="I7" i="9"/>
  <c r="H7" i="9"/>
  <c r="G643" i="12" l="1"/>
  <c r="H643" i="12" s="1"/>
  <c r="D643" i="12"/>
  <c r="E643" i="12" s="1"/>
  <c r="G642" i="12"/>
  <c r="H642" i="12" s="1"/>
  <c r="D642" i="12"/>
  <c r="E642" i="12" s="1"/>
  <c r="G641" i="12"/>
  <c r="H641" i="12" s="1"/>
  <c r="D641" i="12"/>
  <c r="E641" i="12" s="1"/>
  <c r="G640" i="12"/>
  <c r="H640" i="12" s="1"/>
  <c r="D640" i="12"/>
  <c r="E640" i="12" s="1"/>
  <c r="G639" i="12"/>
  <c r="H639" i="12" s="1"/>
  <c r="D639" i="12"/>
  <c r="E639" i="12" s="1"/>
  <c r="G638" i="12"/>
  <c r="H638" i="12" s="1"/>
  <c r="D638" i="12"/>
  <c r="E638" i="12" s="1"/>
  <c r="G637" i="12"/>
  <c r="H637" i="12" s="1"/>
  <c r="D637" i="12"/>
  <c r="E637" i="12" s="1"/>
  <c r="G636" i="12"/>
  <c r="H636" i="12" s="1"/>
  <c r="D636" i="12"/>
  <c r="E636" i="12" s="1"/>
  <c r="G635" i="12"/>
  <c r="H635" i="12" s="1"/>
  <c r="D635" i="12"/>
  <c r="E635" i="12" s="1"/>
  <c r="G634" i="12"/>
  <c r="H634" i="12" s="1"/>
  <c r="D634" i="12"/>
  <c r="E634" i="12" s="1"/>
  <c r="G633" i="12"/>
  <c r="H633" i="12" s="1"/>
  <c r="D633" i="12"/>
  <c r="E633" i="12" s="1"/>
  <c r="G632" i="12"/>
  <c r="H632" i="12" s="1"/>
  <c r="D632" i="12"/>
  <c r="E632" i="12" s="1"/>
  <c r="G631" i="12"/>
  <c r="H631" i="12" s="1"/>
  <c r="D631" i="12"/>
  <c r="E631" i="12" s="1"/>
  <c r="G630" i="12"/>
  <c r="H630" i="12" s="1"/>
  <c r="D630" i="12"/>
  <c r="E630" i="12" s="1"/>
  <c r="G629" i="12"/>
  <c r="H629" i="12" s="1"/>
  <c r="D629" i="12"/>
  <c r="E629" i="12" s="1"/>
  <c r="G628" i="12"/>
  <c r="H628" i="12" s="1"/>
  <c r="D628" i="12"/>
  <c r="E628" i="12" s="1"/>
  <c r="G627" i="12"/>
  <c r="H627" i="12" s="1"/>
  <c r="D627" i="12"/>
  <c r="E627" i="12" s="1"/>
  <c r="G626" i="12"/>
  <c r="H626" i="12" s="1"/>
  <c r="D626" i="12"/>
  <c r="E626" i="12" s="1"/>
  <c r="G625" i="12"/>
  <c r="H625" i="12" s="1"/>
  <c r="D625" i="12"/>
  <c r="E625" i="12" s="1"/>
  <c r="G624" i="12"/>
  <c r="H624" i="12" s="1"/>
  <c r="D624" i="12"/>
  <c r="E624" i="12" s="1"/>
  <c r="G623" i="12"/>
  <c r="H623" i="12" s="1"/>
  <c r="D623" i="12"/>
  <c r="E623" i="12" s="1"/>
  <c r="G622" i="12"/>
  <c r="H622" i="12" s="1"/>
  <c r="D622" i="12"/>
  <c r="E622" i="12" s="1"/>
  <c r="G621" i="12"/>
  <c r="H621" i="12" s="1"/>
  <c r="D621" i="12"/>
  <c r="E621" i="12" s="1"/>
  <c r="G620" i="12"/>
  <c r="H620" i="12" s="1"/>
  <c r="D620" i="12"/>
  <c r="E620" i="12" s="1"/>
  <c r="G619" i="12"/>
  <c r="H619" i="12" s="1"/>
  <c r="D619" i="12"/>
  <c r="E619" i="12" s="1"/>
  <c r="G618" i="12"/>
  <c r="H618" i="12" s="1"/>
  <c r="D618" i="12"/>
  <c r="E618" i="12" s="1"/>
  <c r="G617" i="12"/>
  <c r="H617" i="12" s="1"/>
  <c r="D617" i="12"/>
  <c r="E617" i="12" s="1"/>
  <c r="G616" i="12"/>
  <c r="H616" i="12" s="1"/>
  <c r="D616" i="12"/>
  <c r="E616" i="12" s="1"/>
  <c r="G615" i="12"/>
  <c r="H615" i="12" s="1"/>
  <c r="D615" i="12"/>
  <c r="E615" i="12" s="1"/>
  <c r="G614" i="12"/>
  <c r="H614" i="12" s="1"/>
  <c r="D614" i="12"/>
  <c r="E614" i="12" s="1"/>
  <c r="H442" i="12"/>
  <c r="G442" i="12"/>
  <c r="F507" i="12" s="1"/>
  <c r="H441" i="12"/>
  <c r="G441" i="12"/>
  <c r="F506" i="12" s="1"/>
  <c r="H440" i="12"/>
  <c r="G440" i="12"/>
  <c r="F505" i="12" s="1"/>
  <c r="H439" i="12"/>
  <c r="G439" i="12"/>
  <c r="F504" i="12" s="1"/>
  <c r="H438" i="12"/>
  <c r="G438" i="12"/>
  <c r="F503" i="12" s="1"/>
  <c r="H437" i="12"/>
  <c r="G437" i="12"/>
  <c r="F502" i="12" s="1"/>
  <c r="H436" i="12"/>
  <c r="G436" i="12"/>
  <c r="F501" i="12" s="1"/>
  <c r="H435" i="12"/>
  <c r="G435" i="12"/>
  <c r="F500" i="12" s="1"/>
  <c r="H434" i="12"/>
  <c r="G434" i="12"/>
  <c r="F499" i="12" s="1"/>
  <c r="H433" i="12"/>
  <c r="G433" i="12"/>
  <c r="F498" i="12" s="1"/>
  <c r="H432" i="12"/>
  <c r="G432" i="12"/>
  <c r="F497" i="12" s="1"/>
  <c r="H431" i="12"/>
  <c r="G431" i="12"/>
  <c r="F496" i="12" s="1"/>
  <c r="H430" i="12"/>
  <c r="G430" i="12"/>
  <c r="F495" i="12" s="1"/>
  <c r="H429" i="12"/>
  <c r="G429" i="12"/>
  <c r="F494" i="12" s="1"/>
  <c r="H428" i="12"/>
  <c r="G428" i="12"/>
  <c r="F493" i="12" s="1"/>
  <c r="H427" i="12"/>
  <c r="G427" i="12"/>
  <c r="F492" i="12" s="1"/>
  <c r="H426" i="12"/>
  <c r="G426" i="12"/>
  <c r="F491" i="12" s="1"/>
  <c r="H425" i="12"/>
  <c r="G425" i="12"/>
  <c r="F490" i="12" s="1"/>
  <c r="H424" i="12"/>
  <c r="G424" i="12"/>
  <c r="F489" i="12" s="1"/>
  <c r="H423" i="12"/>
  <c r="G423" i="12"/>
  <c r="F488" i="12" s="1"/>
  <c r="H422" i="12"/>
  <c r="G422" i="12"/>
  <c r="F487" i="12" s="1"/>
  <c r="H421" i="12"/>
  <c r="G421" i="12"/>
  <c r="F486" i="12" s="1"/>
  <c r="H420" i="12"/>
  <c r="G420" i="12"/>
  <c r="F485" i="12" s="1"/>
  <c r="H419" i="12"/>
  <c r="G419" i="12"/>
  <c r="F484" i="12" s="1"/>
  <c r="H418" i="12"/>
  <c r="G418" i="12"/>
  <c r="F483" i="12" s="1"/>
  <c r="H417" i="12"/>
  <c r="G417" i="12"/>
  <c r="F482" i="12" s="1"/>
  <c r="H416" i="12"/>
  <c r="G416" i="12"/>
  <c r="F481" i="12" s="1"/>
  <c r="H415" i="12"/>
  <c r="G415" i="12"/>
  <c r="F480" i="12" s="1"/>
  <c r="H414" i="12"/>
  <c r="G414" i="12"/>
  <c r="F479" i="12" s="1"/>
  <c r="H413" i="12"/>
  <c r="G413" i="12"/>
  <c r="F478" i="12" s="1"/>
  <c r="E303" i="12"/>
  <c r="E302" i="12"/>
  <c r="E301" i="12"/>
  <c r="D301" i="12"/>
  <c r="F234" i="12"/>
  <c r="E234" i="12"/>
  <c r="F233" i="12"/>
  <c r="E233" i="12"/>
  <c r="F232" i="12"/>
  <c r="E232" i="12"/>
  <c r="D298" i="12"/>
  <c r="F231" i="12"/>
  <c r="E297" i="12"/>
  <c r="D297" i="12"/>
  <c r="F230" i="12"/>
  <c r="E296" i="12"/>
  <c r="D296" i="12"/>
  <c r="F229" i="12"/>
  <c r="E295" i="12"/>
  <c r="F228" i="12"/>
  <c r="E294" i="12"/>
  <c r="D228" i="12"/>
  <c r="F227" i="12"/>
  <c r="E227" i="12"/>
  <c r="D293" i="12"/>
  <c r="F226" i="12"/>
  <c r="E226" i="12"/>
  <c r="D226" i="12"/>
  <c r="F225" i="12"/>
  <c r="E291" i="12"/>
  <c r="D291" i="12"/>
  <c r="F224" i="12"/>
  <c r="E290" i="12"/>
  <c r="D290" i="12"/>
  <c r="F223" i="12"/>
  <c r="E289" i="12"/>
  <c r="D289" i="12"/>
  <c r="F222" i="12"/>
  <c r="E222" i="12"/>
  <c r="D288" i="12"/>
  <c r="F221" i="12"/>
  <c r="E287" i="12"/>
  <c r="D287" i="12"/>
  <c r="F220" i="12"/>
  <c r="E220" i="12"/>
  <c r="D220" i="12"/>
  <c r="F219" i="12"/>
  <c r="E285" i="12"/>
  <c r="D285" i="12"/>
  <c r="F218" i="12"/>
  <c r="E218" i="12"/>
  <c r="D218" i="12"/>
  <c r="F217" i="12"/>
  <c r="D283" i="12"/>
  <c r="F216" i="12"/>
  <c r="E216" i="12"/>
  <c r="D282" i="12"/>
  <c r="F215" i="12"/>
  <c r="E215" i="12"/>
  <c r="D281" i="12"/>
  <c r="F214" i="12"/>
  <c r="E214" i="12"/>
  <c r="D280" i="12"/>
  <c r="F213" i="12"/>
  <c r="E279" i="12"/>
  <c r="F212" i="12"/>
  <c r="E278" i="12"/>
  <c r="D212" i="12"/>
  <c r="F211" i="12"/>
  <c r="E211" i="12"/>
  <c r="D277" i="12"/>
  <c r="F210" i="12"/>
  <c r="E276" i="12"/>
  <c r="D210" i="12"/>
  <c r="E209" i="12"/>
  <c r="D209" i="12"/>
  <c r="F208" i="12"/>
  <c r="E274" i="12"/>
  <c r="D274" i="12"/>
  <c r="F70" i="12"/>
  <c r="D70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F8" i="22"/>
  <c r="J20" i="16"/>
  <c r="J19" i="16"/>
  <c r="J18" i="16"/>
  <c r="L17" i="16"/>
  <c r="J17" i="16"/>
  <c r="J13" i="16"/>
  <c r="J12" i="16"/>
  <c r="J11" i="16"/>
  <c r="J9" i="16"/>
  <c r="J7" i="16"/>
  <c r="J6" i="16"/>
  <c r="S160" i="19"/>
  <c r="R160" i="19"/>
  <c r="Q160" i="19"/>
  <c r="P160" i="19"/>
  <c r="O160" i="19"/>
  <c r="N160" i="19"/>
  <c r="M160" i="19"/>
  <c r="L160" i="19"/>
  <c r="K160" i="19"/>
  <c r="J160" i="19"/>
  <c r="I160" i="19"/>
  <c r="H160" i="19"/>
  <c r="G160" i="19"/>
  <c r="S159" i="19"/>
  <c r="R159" i="19"/>
  <c r="Q159" i="19"/>
  <c r="P159" i="19"/>
  <c r="O159" i="19"/>
  <c r="N159" i="19"/>
  <c r="M159" i="19"/>
  <c r="L159" i="19"/>
  <c r="K159" i="19"/>
  <c r="J159" i="19"/>
  <c r="I159" i="19"/>
  <c r="H159" i="19"/>
  <c r="G159" i="19"/>
  <c r="S158" i="19"/>
  <c r="R158" i="19"/>
  <c r="Q158" i="19"/>
  <c r="P158" i="19"/>
  <c r="O158" i="19"/>
  <c r="N158" i="19"/>
  <c r="M158" i="19"/>
  <c r="L158" i="19"/>
  <c r="K158" i="19"/>
  <c r="J158" i="19"/>
  <c r="I158" i="19"/>
  <c r="H158" i="19"/>
  <c r="G158" i="19"/>
  <c r="S157" i="19"/>
  <c r="R157" i="19"/>
  <c r="Q157" i="19"/>
  <c r="P157" i="19"/>
  <c r="O157" i="19"/>
  <c r="N157" i="19"/>
  <c r="M157" i="19"/>
  <c r="L157" i="19"/>
  <c r="K157" i="19"/>
  <c r="J157" i="19"/>
  <c r="I157" i="19"/>
  <c r="H157" i="19"/>
  <c r="G157" i="19"/>
  <c r="S156" i="19"/>
  <c r="R156" i="19"/>
  <c r="Q156" i="19"/>
  <c r="P156" i="19"/>
  <c r="O156" i="19"/>
  <c r="N156" i="19"/>
  <c r="M156" i="19"/>
  <c r="L156" i="19"/>
  <c r="K156" i="19"/>
  <c r="J156" i="19"/>
  <c r="I156" i="19"/>
  <c r="H156" i="19"/>
  <c r="G156" i="19"/>
  <c r="S155" i="19"/>
  <c r="R155" i="19"/>
  <c r="Q155" i="19"/>
  <c r="P155" i="19"/>
  <c r="O155" i="19"/>
  <c r="N155" i="19"/>
  <c r="M155" i="19"/>
  <c r="L155" i="19"/>
  <c r="K155" i="19"/>
  <c r="J155" i="19"/>
  <c r="I155" i="19"/>
  <c r="H155" i="19"/>
  <c r="G155" i="19"/>
  <c r="S154" i="19"/>
  <c r="R154" i="19"/>
  <c r="Q154" i="19"/>
  <c r="P154" i="19"/>
  <c r="O154" i="19"/>
  <c r="N154" i="19"/>
  <c r="M154" i="19"/>
  <c r="L154" i="19"/>
  <c r="K154" i="19"/>
  <c r="J154" i="19"/>
  <c r="I154" i="19"/>
  <c r="G154" i="19"/>
  <c r="S153" i="19"/>
  <c r="R153" i="19"/>
  <c r="Q153" i="19"/>
  <c r="P153" i="19"/>
  <c r="O153" i="19"/>
  <c r="N153" i="19"/>
  <c r="M153" i="19"/>
  <c r="L153" i="19"/>
  <c r="K153" i="19"/>
  <c r="J153" i="19"/>
  <c r="I153" i="19"/>
  <c r="H153" i="19"/>
  <c r="G153" i="19"/>
  <c r="S152" i="19"/>
  <c r="R152" i="19"/>
  <c r="Q152" i="19"/>
  <c r="P152" i="19"/>
  <c r="O152" i="19"/>
  <c r="N152" i="19"/>
  <c r="M152" i="19"/>
  <c r="L152" i="19"/>
  <c r="K152" i="19"/>
  <c r="J152" i="19"/>
  <c r="I152" i="19"/>
  <c r="H152" i="19"/>
  <c r="G152" i="19"/>
  <c r="S151" i="19"/>
  <c r="R151" i="19"/>
  <c r="Q151" i="19"/>
  <c r="P151" i="19"/>
  <c r="O151" i="19"/>
  <c r="N151" i="19"/>
  <c r="M151" i="19"/>
  <c r="L151" i="19"/>
  <c r="K151" i="19"/>
  <c r="J151" i="19"/>
  <c r="I151" i="19"/>
  <c r="H151" i="19"/>
  <c r="I163" i="19" s="1" a="1"/>
  <c r="G151" i="19"/>
  <c r="E145" i="19"/>
  <c r="J144" i="19"/>
  <c r="K144" i="19" s="1"/>
  <c r="J143" i="19"/>
  <c r="K143" i="19" s="1"/>
  <c r="J142" i="19"/>
  <c r="K142" i="19" s="1"/>
  <c r="J141" i="19"/>
  <c r="K141" i="19" s="1"/>
  <c r="J140" i="19"/>
  <c r="K140" i="19" s="1"/>
  <c r="J139" i="19"/>
  <c r="K139" i="19" s="1"/>
  <c r="J138" i="19"/>
  <c r="K138" i="19" s="1"/>
  <c r="J137" i="19"/>
  <c r="K137" i="19" s="1"/>
  <c r="J136" i="19"/>
  <c r="K136" i="19" s="1"/>
  <c r="J135" i="19"/>
  <c r="K135" i="19" s="1"/>
  <c r="J134" i="19"/>
  <c r="K134" i="19" s="1"/>
  <c r="J133" i="19"/>
  <c r="K133" i="19" s="1"/>
  <c r="J132" i="19"/>
  <c r="K132" i="19" s="1"/>
  <c r="J131" i="19"/>
  <c r="K131" i="19" s="1"/>
  <c r="J130" i="19"/>
  <c r="K130" i="19" s="1"/>
  <c r="K129" i="19"/>
  <c r="J129" i="19"/>
  <c r="K128" i="19"/>
  <c r="J128" i="19"/>
  <c r="K127" i="19"/>
  <c r="J127" i="19"/>
  <c r="J126" i="19"/>
  <c r="K126" i="19" s="1"/>
  <c r="K125" i="19"/>
  <c r="J125" i="19"/>
  <c r="J124" i="19"/>
  <c r="K124" i="19" s="1"/>
  <c r="J123" i="19"/>
  <c r="K123" i="19" s="1"/>
  <c r="J122" i="19"/>
  <c r="K122" i="19" s="1"/>
  <c r="J121" i="19"/>
  <c r="K121" i="19" s="1"/>
  <c r="K120" i="19"/>
  <c r="J120" i="19"/>
  <c r="K119" i="19"/>
  <c r="J119" i="19"/>
  <c r="J118" i="19"/>
  <c r="K118" i="19" s="1"/>
  <c r="F112" i="19"/>
  <c r="E112" i="19"/>
  <c r="K111" i="19"/>
  <c r="K110" i="19"/>
  <c r="K109" i="19"/>
  <c r="K108" i="19"/>
  <c r="K107" i="19"/>
  <c r="K106" i="19"/>
  <c r="K105" i="19"/>
  <c r="K104" i="19"/>
  <c r="K103" i="19"/>
  <c r="K102" i="19"/>
  <c r="K101" i="19"/>
  <c r="K100" i="19"/>
  <c r="K99" i="19"/>
  <c r="K98" i="19"/>
  <c r="K97" i="19"/>
  <c r="K96" i="19"/>
  <c r="K95" i="19"/>
  <c r="K94" i="19"/>
  <c r="K93" i="19"/>
  <c r="K92" i="19"/>
  <c r="K91" i="19"/>
  <c r="K90" i="19"/>
  <c r="K89" i="19"/>
  <c r="K88" i="19"/>
  <c r="K87" i="19"/>
  <c r="K86" i="19"/>
  <c r="K85" i="19"/>
  <c r="K84" i="19"/>
  <c r="K83" i="19"/>
  <c r="K82" i="19"/>
  <c r="K81" i="19"/>
  <c r="K80" i="19"/>
  <c r="K79" i="19"/>
  <c r="K78" i="19"/>
  <c r="K77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H154" i="19" s="1"/>
  <c r="E55" i="19"/>
  <c r="E54" i="19"/>
  <c r="H9" i="20"/>
  <c r="G65" i="18"/>
  <c r="H62" i="18"/>
  <c r="E65" i="18" s="1"/>
  <c r="F49" i="18"/>
  <c r="E49" i="18"/>
  <c r="H46" i="18"/>
  <c r="I33" i="18"/>
  <c r="H47" i="18" s="1"/>
  <c r="I26" i="18"/>
  <c r="I20" i="18"/>
  <c r="H61" i="18" s="1"/>
  <c r="I18" i="18"/>
  <c r="I248" i="9"/>
  <c r="H248" i="9"/>
  <c r="G248" i="9"/>
  <c r="F248" i="9"/>
  <c r="I247" i="9"/>
  <c r="H247" i="9"/>
  <c r="J247" i="9" s="1"/>
  <c r="K247" i="9" s="1"/>
  <c r="G247" i="9"/>
  <c r="F247" i="9"/>
  <c r="I246" i="9"/>
  <c r="H246" i="9"/>
  <c r="G246" i="9"/>
  <c r="F246" i="9"/>
  <c r="I245" i="9"/>
  <c r="H245" i="9"/>
  <c r="J245" i="9" s="1"/>
  <c r="K245" i="9" s="1"/>
  <c r="G245" i="9"/>
  <c r="F245" i="9"/>
  <c r="I244" i="9"/>
  <c r="H244" i="9"/>
  <c r="G244" i="9"/>
  <c r="F244" i="9"/>
  <c r="I243" i="9"/>
  <c r="H243" i="9"/>
  <c r="J243" i="9" s="1"/>
  <c r="K243" i="9" s="1"/>
  <c r="G243" i="9"/>
  <c r="F243" i="9"/>
  <c r="I242" i="9"/>
  <c r="H242" i="9"/>
  <c r="G242" i="9"/>
  <c r="F242" i="9"/>
  <c r="I241" i="9"/>
  <c r="H241" i="9"/>
  <c r="J241" i="9" s="1"/>
  <c r="K241" i="9" s="1"/>
  <c r="G241" i="9"/>
  <c r="F241" i="9"/>
  <c r="I240" i="9"/>
  <c r="H240" i="9"/>
  <c r="G240" i="9"/>
  <c r="F240" i="9"/>
  <c r="I239" i="9"/>
  <c r="H239" i="9"/>
  <c r="J239" i="9" s="1"/>
  <c r="K239" i="9" s="1"/>
  <c r="G239" i="9"/>
  <c r="F239" i="9"/>
  <c r="I238" i="9"/>
  <c r="H238" i="9"/>
  <c r="G238" i="9"/>
  <c r="F238" i="9"/>
  <c r="I237" i="9"/>
  <c r="H237" i="9"/>
  <c r="J237" i="9" s="1"/>
  <c r="K237" i="9" s="1"/>
  <c r="G237" i="9"/>
  <c r="F237" i="9"/>
  <c r="I236" i="9"/>
  <c r="H236" i="9"/>
  <c r="G236" i="9"/>
  <c r="F236" i="9"/>
  <c r="I235" i="9"/>
  <c r="H235" i="9"/>
  <c r="J235" i="9" s="1"/>
  <c r="K235" i="9" s="1"/>
  <c r="G235" i="9"/>
  <c r="F235" i="9"/>
  <c r="I234" i="9"/>
  <c r="H234" i="9"/>
  <c r="G234" i="9"/>
  <c r="F234" i="9"/>
  <c r="I233" i="9"/>
  <c r="H233" i="9"/>
  <c r="J233" i="9" s="1"/>
  <c r="K233" i="9" s="1"/>
  <c r="G233" i="9"/>
  <c r="F233" i="9"/>
  <c r="I232" i="9"/>
  <c r="H232" i="9"/>
  <c r="G232" i="9"/>
  <c r="F232" i="9"/>
  <c r="I231" i="9"/>
  <c r="H231" i="9"/>
  <c r="J231" i="9" s="1"/>
  <c r="K231" i="9" s="1"/>
  <c r="G231" i="9"/>
  <c r="F231" i="9"/>
  <c r="I230" i="9"/>
  <c r="H230" i="9"/>
  <c r="G230" i="9"/>
  <c r="F230" i="9"/>
  <c r="I229" i="9"/>
  <c r="H229" i="9"/>
  <c r="J229" i="9" s="1"/>
  <c r="K229" i="9" s="1"/>
  <c r="G229" i="9"/>
  <c r="F229" i="9"/>
  <c r="I228" i="9"/>
  <c r="H228" i="9"/>
  <c r="G228" i="9"/>
  <c r="F228" i="9"/>
  <c r="I227" i="9"/>
  <c r="H227" i="9"/>
  <c r="J227" i="9" s="1"/>
  <c r="K227" i="9" s="1"/>
  <c r="G227" i="9"/>
  <c r="F227" i="9"/>
  <c r="I226" i="9"/>
  <c r="H226" i="9"/>
  <c r="G226" i="9"/>
  <c r="F226" i="9"/>
  <c r="I225" i="9"/>
  <c r="H225" i="9"/>
  <c r="J225" i="9" s="1"/>
  <c r="K225" i="9" s="1"/>
  <c r="G225" i="9"/>
  <c r="F225" i="9"/>
  <c r="I224" i="9"/>
  <c r="H224" i="9"/>
  <c r="G224" i="9"/>
  <c r="F224" i="9"/>
  <c r="I223" i="9"/>
  <c r="H223" i="9"/>
  <c r="J223" i="9" s="1"/>
  <c r="K223" i="9" s="1"/>
  <c r="G223" i="9"/>
  <c r="F223" i="9"/>
  <c r="I222" i="9"/>
  <c r="H222" i="9"/>
  <c r="G222" i="9"/>
  <c r="F222" i="9"/>
  <c r="I221" i="9"/>
  <c r="H221" i="9"/>
  <c r="J221" i="9" s="1"/>
  <c r="K221" i="9" s="1"/>
  <c r="G221" i="9"/>
  <c r="F221" i="9"/>
  <c r="I220" i="9"/>
  <c r="H220" i="9"/>
  <c r="G220" i="9"/>
  <c r="F220" i="9"/>
  <c r="I219" i="9"/>
  <c r="H219" i="9"/>
  <c r="J219" i="9" s="1"/>
  <c r="K219" i="9" s="1"/>
  <c r="G219" i="9"/>
  <c r="F219" i="9"/>
  <c r="I218" i="9"/>
  <c r="H218" i="9"/>
  <c r="G218" i="9"/>
  <c r="F218" i="9"/>
  <c r="I217" i="9"/>
  <c r="H217" i="9"/>
  <c r="J217" i="9" s="1"/>
  <c r="K217" i="9" s="1"/>
  <c r="G217" i="9"/>
  <c r="F217" i="9"/>
  <c r="I216" i="9"/>
  <c r="H216" i="9"/>
  <c r="G216" i="9"/>
  <c r="F216" i="9"/>
  <c r="I215" i="9"/>
  <c r="H215" i="9"/>
  <c r="J215" i="9" s="1"/>
  <c r="K215" i="9" s="1"/>
  <c r="G215" i="9"/>
  <c r="F215" i="9"/>
  <c r="I214" i="9"/>
  <c r="H214" i="9"/>
  <c r="G214" i="9"/>
  <c r="F214" i="9"/>
  <c r="I213" i="9"/>
  <c r="H213" i="9"/>
  <c r="J213" i="9" s="1"/>
  <c r="K213" i="9" s="1"/>
  <c r="G213" i="9"/>
  <c r="F213" i="9"/>
  <c r="I212" i="9"/>
  <c r="H212" i="9"/>
  <c r="G212" i="9"/>
  <c r="F212" i="9"/>
  <c r="I211" i="9"/>
  <c r="H211" i="9"/>
  <c r="J211" i="9" s="1"/>
  <c r="K211" i="9" s="1"/>
  <c r="G211" i="9"/>
  <c r="F211" i="9"/>
  <c r="I210" i="9"/>
  <c r="H210" i="9"/>
  <c r="G210" i="9"/>
  <c r="F210" i="9"/>
  <c r="I209" i="9"/>
  <c r="H209" i="9"/>
  <c r="J209" i="9" s="1"/>
  <c r="K209" i="9" s="1"/>
  <c r="G209" i="9"/>
  <c r="F209" i="9"/>
  <c r="I208" i="9"/>
  <c r="H208" i="9"/>
  <c r="G208" i="9"/>
  <c r="F208" i="9"/>
  <c r="I207" i="9"/>
  <c r="H207" i="9"/>
  <c r="J207" i="9" s="1"/>
  <c r="K207" i="9" s="1"/>
  <c r="G207" i="9"/>
  <c r="F207" i="9"/>
  <c r="I206" i="9"/>
  <c r="H206" i="9"/>
  <c r="G206" i="9"/>
  <c r="F206" i="9"/>
  <c r="I205" i="9"/>
  <c r="H205" i="9"/>
  <c r="J205" i="9" s="1"/>
  <c r="K205" i="9" s="1"/>
  <c r="G205" i="9"/>
  <c r="F205" i="9"/>
  <c r="I204" i="9"/>
  <c r="H204" i="9"/>
  <c r="G204" i="9"/>
  <c r="F204" i="9"/>
  <c r="I203" i="9"/>
  <c r="H203" i="9"/>
  <c r="J203" i="9" s="1"/>
  <c r="K203" i="9" s="1"/>
  <c r="G203" i="9"/>
  <c r="F203" i="9"/>
  <c r="I202" i="9"/>
  <c r="H202" i="9"/>
  <c r="G202" i="9"/>
  <c r="F202" i="9"/>
  <c r="I201" i="9"/>
  <c r="H201" i="9"/>
  <c r="J201" i="9" s="1"/>
  <c r="K201" i="9" s="1"/>
  <c r="G201" i="9"/>
  <c r="F201" i="9"/>
  <c r="I200" i="9"/>
  <c r="H200" i="9"/>
  <c r="G200" i="9"/>
  <c r="F200" i="9"/>
  <c r="I199" i="9"/>
  <c r="H199" i="9"/>
  <c r="F199" i="9"/>
  <c r="M191" i="9"/>
  <c r="L191" i="9"/>
  <c r="H184" i="9"/>
  <c r="I184" i="9" s="1"/>
  <c r="H183" i="9"/>
  <c r="I183" i="9" s="1"/>
  <c r="H182" i="9"/>
  <c r="I182" i="9" s="1"/>
  <c r="H181" i="9"/>
  <c r="I181" i="9" s="1"/>
  <c r="H180" i="9"/>
  <c r="I180" i="9" s="1"/>
  <c r="H179" i="9"/>
  <c r="I179" i="9" s="1"/>
  <c r="I178" i="9"/>
  <c r="H178" i="9"/>
  <c r="H177" i="9"/>
  <c r="I177" i="9" s="1"/>
  <c r="H176" i="9"/>
  <c r="I176" i="9" s="1"/>
  <c r="H175" i="9"/>
  <c r="I175" i="9" s="1"/>
  <c r="I174" i="9"/>
  <c r="H174" i="9"/>
  <c r="H173" i="9"/>
  <c r="I173" i="9" s="1"/>
  <c r="H172" i="9"/>
  <c r="I172" i="9" s="1"/>
  <c r="H171" i="9"/>
  <c r="I171" i="9" s="1"/>
  <c r="I165" i="9"/>
  <c r="J261" i="9" s="1"/>
  <c r="I155" i="9"/>
  <c r="J260" i="9" s="1"/>
  <c r="G134" i="9"/>
  <c r="F134" i="9"/>
  <c r="H125" i="9"/>
  <c r="H126" i="9" s="1"/>
  <c r="H134" i="9" s="1"/>
  <c r="I123" i="9"/>
  <c r="I101" i="9"/>
  <c r="I99" i="9"/>
  <c r="G86" i="9"/>
  <c r="F86" i="9"/>
  <c r="G84" i="9"/>
  <c r="F84" i="9"/>
  <c r="I82" i="9"/>
  <c r="I65" i="9"/>
  <c r="J30" i="9"/>
  <c r="H66" i="9" s="1"/>
  <c r="I30" i="9"/>
  <c r="J65" i="9" s="1"/>
  <c r="K22" i="9"/>
  <c r="K26" i="9" s="1"/>
  <c r="J11" i="9"/>
  <c r="I11" i="9"/>
  <c r="I13" i="9" s="1"/>
  <c r="H11" i="9"/>
  <c r="H16" i="9" s="1"/>
  <c r="H20" i="9" s="1"/>
  <c r="I5" i="16"/>
  <c r="I8" i="16" s="1"/>
  <c r="I21" i="16" s="1"/>
  <c r="I22" i="16" s="1"/>
  <c r="H5" i="16"/>
  <c r="F5" i="16"/>
  <c r="F8" i="16" s="1"/>
  <c r="M6" i="9"/>
  <c r="M5" i="9"/>
  <c r="M7" i="9" s="1"/>
  <c r="F97" i="6"/>
  <c r="H95" i="6"/>
  <c r="F83" i="6"/>
  <c r="E83" i="6"/>
  <c r="I15" i="6"/>
  <c r="F25" i="6" s="1"/>
  <c r="D65" i="18" l="1"/>
  <c r="G68" i="18" s="1"/>
  <c r="I70" i="18" s="1"/>
  <c r="H94" i="6" s="1"/>
  <c r="E97" i="6" s="1"/>
  <c r="H45" i="18"/>
  <c r="H63" i="18"/>
  <c r="F65" i="18" s="1"/>
  <c r="H65" i="9"/>
  <c r="I188" i="9"/>
  <c r="J202" i="9"/>
  <c r="K202" i="9" s="1"/>
  <c r="J206" i="9"/>
  <c r="K206" i="9" s="1"/>
  <c r="J210" i="9"/>
  <c r="K210" i="9" s="1"/>
  <c r="J214" i="9"/>
  <c r="K214" i="9" s="1"/>
  <c r="J218" i="9"/>
  <c r="K218" i="9" s="1"/>
  <c r="J222" i="9"/>
  <c r="K222" i="9" s="1"/>
  <c r="J226" i="9"/>
  <c r="K226" i="9" s="1"/>
  <c r="J230" i="9"/>
  <c r="K230" i="9" s="1"/>
  <c r="J234" i="9"/>
  <c r="K234" i="9" s="1"/>
  <c r="J238" i="9"/>
  <c r="K238" i="9" s="1"/>
  <c r="J242" i="9"/>
  <c r="K242" i="9" s="1"/>
  <c r="J246" i="9"/>
  <c r="K246" i="9" s="1"/>
  <c r="I196" i="9"/>
  <c r="F264" i="9"/>
  <c r="D49" i="18"/>
  <c r="J68" i="9"/>
  <c r="G676" i="12"/>
  <c r="I108" i="9" s="1"/>
  <c r="G677" i="12"/>
  <c r="I109" i="9" s="1"/>
  <c r="F538" i="12"/>
  <c r="E545" i="12"/>
  <c r="F545" i="12"/>
  <c r="D545" i="12"/>
  <c r="F546" i="12"/>
  <c r="E546" i="12"/>
  <c r="D546" i="12"/>
  <c r="D547" i="12"/>
  <c r="F547" i="12"/>
  <c r="E547" i="12"/>
  <c r="D548" i="12"/>
  <c r="E548" i="12"/>
  <c r="F548" i="12"/>
  <c r="E549" i="12"/>
  <c r="D549" i="12"/>
  <c r="F549" i="12"/>
  <c r="F550" i="12"/>
  <c r="E550" i="12"/>
  <c r="D550" i="12"/>
  <c r="D551" i="12"/>
  <c r="E551" i="12"/>
  <c r="F551" i="12"/>
  <c r="D552" i="12"/>
  <c r="E552" i="12"/>
  <c r="F552" i="12"/>
  <c r="E553" i="12"/>
  <c r="D553" i="12"/>
  <c r="F553" i="12"/>
  <c r="F554" i="12"/>
  <c r="D554" i="12"/>
  <c r="E554" i="12"/>
  <c r="F555" i="12"/>
  <c r="D555" i="12"/>
  <c r="E555" i="12"/>
  <c r="D556" i="12"/>
  <c r="E556" i="12"/>
  <c r="F556" i="12"/>
  <c r="E557" i="12"/>
  <c r="D557" i="12"/>
  <c r="F557" i="12"/>
  <c r="F558" i="12"/>
  <c r="E558" i="12"/>
  <c r="D558" i="12"/>
  <c r="D559" i="12"/>
  <c r="E559" i="12"/>
  <c r="F559" i="12"/>
  <c r="D560" i="12"/>
  <c r="E560" i="12"/>
  <c r="F560" i="12"/>
  <c r="E561" i="12"/>
  <c r="D561" i="12"/>
  <c r="F561" i="12"/>
  <c r="F562" i="12"/>
  <c r="D562" i="12"/>
  <c r="E562" i="12"/>
  <c r="F563" i="12"/>
  <c r="D563" i="12"/>
  <c r="E563" i="12"/>
  <c r="D564" i="12"/>
  <c r="E564" i="12"/>
  <c r="F564" i="12"/>
  <c r="E565" i="12"/>
  <c r="D565" i="12"/>
  <c r="F565" i="12"/>
  <c r="F566" i="12"/>
  <c r="E566" i="12"/>
  <c r="D566" i="12"/>
  <c r="D567" i="12"/>
  <c r="E567" i="12"/>
  <c r="F567" i="12"/>
  <c r="D568" i="12"/>
  <c r="E568" i="12"/>
  <c r="F568" i="12"/>
  <c r="E569" i="12"/>
  <c r="D569" i="12"/>
  <c r="F569" i="12"/>
  <c r="F570" i="12"/>
  <c r="D570" i="12"/>
  <c r="E570" i="12"/>
  <c r="F571" i="12"/>
  <c r="D571" i="12"/>
  <c r="E571" i="12"/>
  <c r="D572" i="12"/>
  <c r="E572" i="12"/>
  <c r="F572" i="12"/>
  <c r="E573" i="12"/>
  <c r="D573" i="12"/>
  <c r="F573" i="12"/>
  <c r="F574" i="12"/>
  <c r="E574" i="12"/>
  <c r="D574" i="12"/>
  <c r="J16" i="9"/>
  <c r="J18" i="9" s="1"/>
  <c r="J22" i="9" s="1"/>
  <c r="G16" i="16" s="1"/>
  <c r="J216" i="9"/>
  <c r="K216" i="9" s="1"/>
  <c r="J199" i="9"/>
  <c r="K199" i="9" s="1"/>
  <c r="I53" i="19"/>
  <c r="J53" i="19" s="1"/>
  <c r="K53" i="19" s="1"/>
  <c r="I45" i="19"/>
  <c r="J45" i="19" s="1"/>
  <c r="K45" i="19" s="1"/>
  <c r="I37" i="19"/>
  <c r="J37" i="19" s="1"/>
  <c r="K37" i="19" s="1"/>
  <c r="I29" i="19"/>
  <c r="J29" i="19" s="1"/>
  <c r="K29" i="19" s="1"/>
  <c r="I24" i="19"/>
  <c r="J24" i="19" s="1"/>
  <c r="K24" i="19" s="1"/>
  <c r="I47" i="19"/>
  <c r="J47" i="19" s="1"/>
  <c r="K47" i="19" s="1"/>
  <c r="I52" i="19"/>
  <c r="J52" i="19" s="1"/>
  <c r="K52" i="19" s="1"/>
  <c r="I44" i="19"/>
  <c r="J44" i="19" s="1"/>
  <c r="K44" i="19" s="1"/>
  <c r="I36" i="19"/>
  <c r="J36" i="19" s="1"/>
  <c r="K36" i="19" s="1"/>
  <c r="I28" i="19"/>
  <c r="J28" i="19" s="1"/>
  <c r="K28" i="19" s="1"/>
  <c r="I39" i="19"/>
  <c r="J39" i="19" s="1"/>
  <c r="K39" i="19" s="1"/>
  <c r="I51" i="19"/>
  <c r="J51" i="19" s="1"/>
  <c r="K51" i="19" s="1"/>
  <c r="I43" i="19"/>
  <c r="J43" i="19" s="1"/>
  <c r="K43" i="19" s="1"/>
  <c r="I35" i="19"/>
  <c r="J35" i="19" s="1"/>
  <c r="K35" i="19" s="1"/>
  <c r="I27" i="19"/>
  <c r="J27" i="19" s="1"/>
  <c r="K27" i="19" s="1"/>
  <c r="I31" i="19"/>
  <c r="J31" i="19" s="1"/>
  <c r="K31" i="19" s="1"/>
  <c r="I50" i="19"/>
  <c r="J50" i="19" s="1"/>
  <c r="K50" i="19" s="1"/>
  <c r="I42" i="19"/>
  <c r="J42" i="19" s="1"/>
  <c r="K42" i="19" s="1"/>
  <c r="I34" i="19"/>
  <c r="J34" i="19" s="1"/>
  <c r="K34" i="19" s="1"/>
  <c r="I26" i="19"/>
  <c r="J26" i="19" s="1"/>
  <c r="K26" i="19" s="1"/>
  <c r="I40" i="19"/>
  <c r="J40" i="19" s="1"/>
  <c r="K40" i="19" s="1"/>
  <c r="I49" i="19"/>
  <c r="J49" i="19" s="1"/>
  <c r="K49" i="19" s="1"/>
  <c r="I41" i="19"/>
  <c r="J41" i="19" s="1"/>
  <c r="K41" i="19" s="1"/>
  <c r="I33" i="19"/>
  <c r="J33" i="19" s="1"/>
  <c r="K33" i="19" s="1"/>
  <c r="I25" i="19"/>
  <c r="J25" i="19" s="1"/>
  <c r="K25" i="19" s="1"/>
  <c r="I48" i="19"/>
  <c r="J48" i="19" s="1"/>
  <c r="K48" i="19" s="1"/>
  <c r="I46" i="19"/>
  <c r="J46" i="19" s="1"/>
  <c r="K46" i="19" s="1"/>
  <c r="I38" i="19"/>
  <c r="J38" i="19" s="1"/>
  <c r="K38" i="19" s="1"/>
  <c r="I30" i="19"/>
  <c r="J30" i="19" s="1"/>
  <c r="K30" i="19" s="1"/>
  <c r="I32" i="19"/>
  <c r="J32" i="19" s="1"/>
  <c r="K32" i="19" s="1"/>
  <c r="I23" i="19"/>
  <c r="J23" i="19" s="1"/>
  <c r="K23" i="19" s="1"/>
  <c r="I14" i="19"/>
  <c r="J14" i="19" s="1"/>
  <c r="K14" i="19" s="1"/>
  <c r="I20" i="19"/>
  <c r="J20" i="19" s="1"/>
  <c r="K20" i="19" s="1"/>
  <c r="I16" i="19"/>
  <c r="J16" i="19" s="1"/>
  <c r="I17" i="19"/>
  <c r="J17" i="19" s="1"/>
  <c r="I19" i="19"/>
  <c r="J19" i="19" s="1"/>
  <c r="I22" i="19"/>
  <c r="J22" i="19" s="1"/>
  <c r="I18" i="19"/>
  <c r="J18" i="19" s="1"/>
  <c r="I12" i="19"/>
  <c r="J12" i="19" s="1"/>
  <c r="I165" i="19" a="1"/>
  <c r="I165" i="19" s="1"/>
  <c r="I166" i="19" s="1"/>
  <c r="I163" i="19"/>
  <c r="I15" i="19"/>
  <c r="J15" i="19" s="1"/>
  <c r="I162" i="19" a="1"/>
  <c r="I162" i="19" s="1"/>
  <c r="I168" i="19"/>
  <c r="I13" i="19"/>
  <c r="J13" i="19" s="1"/>
  <c r="I21" i="19"/>
  <c r="J21" i="19" s="1"/>
  <c r="H23" i="6"/>
  <c r="E275" i="12"/>
  <c r="D219" i="12"/>
  <c r="E230" i="12"/>
  <c r="G163" i="12"/>
  <c r="G167" i="12"/>
  <c r="G151" i="12"/>
  <c r="D299" i="12"/>
  <c r="G147" i="12"/>
  <c r="G162" i="12"/>
  <c r="E229" i="12"/>
  <c r="D275" i="12"/>
  <c r="E298" i="12"/>
  <c r="E280" i="12"/>
  <c r="D302" i="12"/>
  <c r="G157" i="12"/>
  <c r="E221" i="12"/>
  <c r="E281" i="12"/>
  <c r="E286" i="12"/>
  <c r="E223" i="12"/>
  <c r="E292" i="12"/>
  <c r="G146" i="12"/>
  <c r="G143" i="12"/>
  <c r="G159" i="12"/>
  <c r="E210" i="12"/>
  <c r="G210" i="12" s="1"/>
  <c r="E212" i="12"/>
  <c r="G212" i="12" s="1"/>
  <c r="D217" i="12"/>
  <c r="E219" i="12"/>
  <c r="E228" i="12"/>
  <c r="G228" i="12" s="1"/>
  <c r="D233" i="12"/>
  <c r="G233" i="12" s="1"/>
  <c r="E282" i="12"/>
  <c r="D294" i="12"/>
  <c r="E299" i="12"/>
  <c r="G220" i="12"/>
  <c r="F209" i="12"/>
  <c r="G209" i="12" s="1"/>
  <c r="G152" i="12"/>
  <c r="G226" i="12"/>
  <c r="G170" i="12"/>
  <c r="E208" i="12"/>
  <c r="D215" i="12"/>
  <c r="G215" i="12" s="1"/>
  <c r="E217" i="12"/>
  <c r="E224" i="12"/>
  <c r="D231" i="12"/>
  <c r="E277" i="12"/>
  <c r="E288" i="12"/>
  <c r="E300" i="12"/>
  <c r="E293" i="12"/>
  <c r="G154" i="12"/>
  <c r="G171" i="12"/>
  <c r="E231" i="12"/>
  <c r="D278" i="12"/>
  <c r="E283" i="12"/>
  <c r="D295" i="12"/>
  <c r="G149" i="12"/>
  <c r="G155" i="12"/>
  <c r="G165" i="12"/>
  <c r="D211" i="12"/>
  <c r="G211" i="12" s="1"/>
  <c r="E213" i="12"/>
  <c r="D227" i="12"/>
  <c r="G227" i="12" s="1"/>
  <c r="E284" i="12"/>
  <c r="D225" i="12"/>
  <c r="D279" i="12"/>
  <c r="G144" i="12"/>
  <c r="G218" i="12"/>
  <c r="G160" i="12"/>
  <c r="G168" i="12"/>
  <c r="D223" i="12"/>
  <c r="E225" i="12"/>
  <c r="D286" i="12"/>
  <c r="D303" i="12"/>
  <c r="D214" i="12"/>
  <c r="G214" i="12" s="1"/>
  <c r="D222" i="12"/>
  <c r="G222" i="12" s="1"/>
  <c r="D230" i="12"/>
  <c r="G148" i="12"/>
  <c r="G156" i="12"/>
  <c r="G164" i="12"/>
  <c r="D276" i="12"/>
  <c r="D284" i="12"/>
  <c r="D292" i="12"/>
  <c r="D300" i="12"/>
  <c r="G145" i="12"/>
  <c r="G153" i="12"/>
  <c r="G161" i="12"/>
  <c r="G169" i="12"/>
  <c r="D208" i="12"/>
  <c r="D216" i="12"/>
  <c r="G216" i="12" s="1"/>
  <c r="D224" i="12"/>
  <c r="D232" i="12"/>
  <c r="G232" i="12" s="1"/>
  <c r="G142" i="12"/>
  <c r="G150" i="12"/>
  <c r="G158" i="12"/>
  <c r="G166" i="12"/>
  <c r="D213" i="12"/>
  <c r="D221" i="12"/>
  <c r="D229" i="12"/>
  <c r="D234" i="12"/>
  <c r="G234" i="12" s="1"/>
  <c r="F89" i="9"/>
  <c r="F92" i="9" s="1"/>
  <c r="G89" i="9"/>
  <c r="G92" i="9" s="1"/>
  <c r="I68" i="9"/>
  <c r="I16" i="9"/>
  <c r="I18" i="9" s="1"/>
  <c r="J248" i="9"/>
  <c r="K248" i="9" s="1"/>
  <c r="J204" i="9"/>
  <c r="K204" i="9" s="1"/>
  <c r="J212" i="9"/>
  <c r="K212" i="9" s="1"/>
  <c r="J228" i="9"/>
  <c r="K228" i="9" s="1"/>
  <c r="J236" i="9"/>
  <c r="K236" i="9" s="1"/>
  <c r="J220" i="9"/>
  <c r="K220" i="9" s="1"/>
  <c r="J224" i="9"/>
  <c r="K224" i="9" s="1"/>
  <c r="J200" i="9"/>
  <c r="K200" i="9" s="1"/>
  <c r="J232" i="9"/>
  <c r="K232" i="9" s="1"/>
  <c r="J208" i="9"/>
  <c r="K208" i="9" s="1"/>
  <c r="J240" i="9"/>
  <c r="K240" i="9" s="1"/>
  <c r="J244" i="9"/>
  <c r="K244" i="9" s="1"/>
  <c r="H18" i="9"/>
  <c r="H8" i="16"/>
  <c r="H69" i="9"/>
  <c r="I72" i="9"/>
  <c r="F141" i="9"/>
  <c r="G140" i="9"/>
  <c r="D141" i="9"/>
  <c r="G138" i="9"/>
  <c r="E141" i="9"/>
  <c r="G139" i="9"/>
  <c r="H13" i="9"/>
  <c r="I66" i="9"/>
  <c r="I69" i="9" s="1"/>
  <c r="F277" i="9"/>
  <c r="G5" i="16"/>
  <c r="G8" i="16" s="1"/>
  <c r="J66" i="9"/>
  <c r="J69" i="9" s="1"/>
  <c r="G277" i="9"/>
  <c r="J13" i="9"/>
  <c r="L22" i="9"/>
  <c r="H68" i="9"/>
  <c r="J273" i="9"/>
  <c r="G264" i="9"/>
  <c r="D71" i="12"/>
  <c r="J274" i="9"/>
  <c r="F87" i="9"/>
  <c r="F90" i="9" s="1"/>
  <c r="F94" i="9" s="1"/>
  <c r="E71" i="12"/>
  <c r="G87" i="9"/>
  <c r="G90" i="9" s="1"/>
  <c r="G94" i="9" s="1"/>
  <c r="E5" i="16"/>
  <c r="F71" i="12"/>
  <c r="D605" i="12" l="1"/>
  <c r="H77" i="9" s="1"/>
  <c r="E605" i="12"/>
  <c r="I77" i="9" s="1"/>
  <c r="F605" i="12"/>
  <c r="J77" i="9" s="1"/>
  <c r="D334" i="12"/>
  <c r="E334" i="12"/>
  <c r="E268" i="12"/>
  <c r="F268" i="12"/>
  <c r="F340" i="12" s="1"/>
  <c r="J26" i="9" s="1"/>
  <c r="D268" i="12"/>
  <c r="I93" i="9"/>
  <c r="I104" i="9" s="1"/>
  <c r="K249" i="9"/>
  <c r="I251" i="9" s="1"/>
  <c r="J276" i="9" s="1"/>
  <c r="K21" i="19"/>
  <c r="K17" i="19"/>
  <c r="K13" i="19"/>
  <c r="K22" i="19"/>
  <c r="K16" i="19"/>
  <c r="K15" i="19"/>
  <c r="K19" i="19"/>
  <c r="K18" i="19"/>
  <c r="K12" i="19"/>
  <c r="I167" i="19"/>
  <c r="I169" i="19"/>
  <c r="I183" i="19" s="1"/>
  <c r="I16" i="6" s="1"/>
  <c r="G21" i="16"/>
  <c r="G22" i="16" s="1"/>
  <c r="H21" i="16"/>
  <c r="H22" i="16" s="1"/>
  <c r="G229" i="12"/>
  <c r="G219" i="12"/>
  <c r="G213" i="12"/>
  <c r="G230" i="12"/>
  <c r="H76" i="9"/>
  <c r="G221" i="12"/>
  <c r="G223" i="12"/>
  <c r="G225" i="12"/>
  <c r="G217" i="12"/>
  <c r="J76" i="9"/>
  <c r="G224" i="12"/>
  <c r="G231" i="12"/>
  <c r="G208" i="12"/>
  <c r="G202" i="12"/>
  <c r="M16" i="9"/>
  <c r="I73" i="9"/>
  <c r="I20" i="9"/>
  <c r="I95" i="9"/>
  <c r="I105" i="9" s="1"/>
  <c r="M18" i="9"/>
  <c r="H22" i="9"/>
  <c r="E8" i="16"/>
  <c r="J5" i="16"/>
  <c r="I143" i="9"/>
  <c r="I145" i="9" s="1"/>
  <c r="J73" i="9"/>
  <c r="J72" i="9"/>
  <c r="H72" i="9"/>
  <c r="H73" i="9"/>
  <c r="J262" i="9"/>
  <c r="H264" i="9"/>
  <c r="J275" i="9"/>
  <c r="H277" i="9"/>
  <c r="I264" i="9" l="1"/>
  <c r="I277" i="9"/>
  <c r="J263" i="9"/>
  <c r="H24" i="6"/>
  <c r="H96" i="6" s="1"/>
  <c r="G97" i="6" s="1"/>
  <c r="G25" i="6"/>
  <c r="E340" i="12"/>
  <c r="I26" i="9" s="1"/>
  <c r="G606" i="12"/>
  <c r="K77" i="9" s="1"/>
  <c r="G268" i="12"/>
  <c r="D340" i="12"/>
  <c r="H26" i="9" s="1"/>
  <c r="I76" i="9"/>
  <c r="G539" i="12"/>
  <c r="K76" i="9" s="1"/>
  <c r="M20" i="9"/>
  <c r="I22" i="9"/>
  <c r="M22" i="9" s="1"/>
  <c r="K73" i="9"/>
  <c r="E16" i="16"/>
  <c r="E277" i="9"/>
  <c r="J259" i="9"/>
  <c r="E264" i="9"/>
  <c r="J272" i="9"/>
  <c r="K72" i="9"/>
  <c r="J8" i="16"/>
  <c r="H82" i="6" l="1"/>
  <c r="G83" i="6" s="1"/>
  <c r="G340" i="12"/>
  <c r="I113" i="9"/>
  <c r="D277" i="9" s="1"/>
  <c r="I115" i="9"/>
  <c r="J258" i="9" s="1"/>
  <c r="J271" i="9" l="1"/>
  <c r="I279" i="9" s="1"/>
  <c r="I117" i="9"/>
  <c r="D264" i="9"/>
  <c r="I266" i="9" s="1"/>
  <c r="I282" i="9" s="1"/>
  <c r="I13" i="6" s="1"/>
  <c r="D25" i="6" s="1"/>
  <c r="H21" i="6" l="1"/>
  <c r="H93" i="6" s="1"/>
  <c r="H79" i="6" l="1"/>
  <c r="D83" i="6" s="1"/>
  <c r="H85" i="6" s="1"/>
  <c r="I87" i="6" s="1"/>
  <c r="D97" i="6"/>
  <c r="H99" i="6" s="1"/>
  <c r="I101" i="6" s="1"/>
  <c r="I36" i="22" l="1"/>
  <c r="F36" i="22"/>
  <c r="G69" i="12" l="1"/>
  <c r="L26" i="9" s="1"/>
  <c r="M26" i="9" s="1"/>
  <c r="E70" i="12"/>
  <c r="C70" i="12" s="1"/>
  <c r="F10" i="16" l="1"/>
  <c r="E10" i="16"/>
  <c r="F16" i="16"/>
  <c r="J16" i="16" s="1"/>
  <c r="F21" i="16" l="1"/>
  <c r="F22" i="16" s="1"/>
  <c r="J10" i="16"/>
  <c r="E21" i="16"/>
  <c r="E22" i="16" l="1"/>
  <c r="J22" i="16" s="1"/>
  <c r="L22" i="16" s="1"/>
  <c r="I38" i="18"/>
  <c r="J21" i="16"/>
  <c r="L21" i="16" s="1"/>
  <c r="I15" i="22" l="1"/>
  <c r="I26" i="22" s="1"/>
  <c r="I27" i="22" s="1"/>
  <c r="F15" i="22"/>
  <c r="F16" i="22" s="1"/>
  <c r="I4" i="17"/>
  <c r="G49" i="18"/>
  <c r="H48" i="18"/>
  <c r="I28" i="22" l="1"/>
  <c r="G52" i="18"/>
  <c r="I54" i="18" s="1"/>
  <c r="I14" i="6" s="1"/>
  <c r="F26" i="22"/>
  <c r="F27" i="22" s="1"/>
  <c r="F28" i="22" l="1"/>
  <c r="H22" i="6"/>
  <c r="E25" i="6"/>
  <c r="H27" i="6" l="1"/>
  <c r="I30" i="6" s="1"/>
  <c r="I6" i="17" s="1"/>
  <c r="I31" i="6" s="1"/>
  <c r="I32" i="6" s="1"/>
  <c r="I33" i="6" s="1"/>
  <c r="I29" i="22" l="1"/>
  <c r="I30" i="22" s="1"/>
  <c r="F29" i="22"/>
  <c r="I31" i="22" l="1"/>
  <c r="I38" i="22" s="1"/>
  <c r="F30" i="22"/>
  <c r="F31" i="22" s="1"/>
  <c r="F38" i="22" s="1"/>
  <c r="F40" i="22" l="1"/>
  <c r="I40" i="6" s="1"/>
  <c r="I42" i="6" s="1"/>
  <c r="I35" i="6"/>
  <c r="I37" i="6" s="1"/>
  <c r="I41" i="6" l="1"/>
  <c r="I3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 Viljugrein</author>
  </authors>
  <commentList>
    <comment ref="L17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FT: Forsikringsbuffer (kundemidler) i avsetningene, marginer i porteføljene off, priv, fri og ettår
</t>
        </r>
      </text>
    </comment>
    <comment ref="C21" authorId="0" shapeId="0" xr:uid="{00000000-0006-0000-0600-000002000000}">
      <text>
        <r>
          <rPr>
            <sz val="9"/>
            <color indexed="81"/>
            <rFont val="Tahoma"/>
            <family val="2"/>
          </rPr>
          <t>FT:
Se kolonne L for beste estimat inklusive bufferfond</t>
        </r>
      </text>
    </comment>
    <comment ref="C22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FT:</t>
        </r>
        <r>
          <rPr>
            <sz val="9"/>
            <color indexed="81"/>
            <rFont val="Tahoma"/>
            <family val="2"/>
          </rPr>
          <t xml:space="preserve">
Se kolonne L for
risikomargin inklusive 
bufferfond</t>
        </r>
      </text>
    </comment>
  </commentList>
</comments>
</file>

<file path=xl/sharedStrings.xml><?xml version="1.0" encoding="utf-8"?>
<sst xmlns="http://schemas.openxmlformats.org/spreadsheetml/2006/main" count="903" uniqueCount="675">
  <si>
    <t>FORENKLET SOLVENSKAPITALKRAV FOR PENSJONSKASSER</t>
  </si>
  <si>
    <t>PENSJONSKASSE</t>
  </si>
  <si>
    <t>PERIODE (kvartal/år)</t>
  </si>
  <si>
    <t>ORG.NUMMER</t>
  </si>
  <si>
    <t>KONTAKTPERSON</t>
  </si>
  <si>
    <t>TELEFONNUMMER</t>
  </si>
  <si>
    <t>E-POSTADRESSE</t>
  </si>
  <si>
    <t>Beløp oppgis i mill. kr med tre desimaler</t>
  </si>
  <si>
    <t>A.   SOLVENSKAPITALDEKNING</t>
  </si>
  <si>
    <t>A.1</t>
  </si>
  <si>
    <t>Samlet kapitalkrav for markedsrisiko</t>
  </si>
  <si>
    <t>A.2</t>
  </si>
  <si>
    <t>Samlet kapitalkrav for livsforsikringsrisiko</t>
  </si>
  <si>
    <t>A.3</t>
  </si>
  <si>
    <t>Samlet kapitalkrav for helseforsikringsrisiko</t>
  </si>
  <si>
    <t>A.4</t>
  </si>
  <si>
    <t>Samlet kapitalkrav for motpartsrisiko</t>
  </si>
  <si>
    <t>A.5</t>
  </si>
  <si>
    <t>Korrelasjonsmatrise for samlet risiko, ekskl. operasjonell risiko</t>
  </si>
  <si>
    <t>Korr</t>
  </si>
  <si>
    <t>Markedsrisiko</t>
  </si>
  <si>
    <t>Livsfors.risiko</t>
  </si>
  <si>
    <t>Helsefors.risiko</t>
  </si>
  <si>
    <t>Motpartsrisiko</t>
  </si>
  <si>
    <t>Kapitalkrav Tr</t>
  </si>
  <si>
    <t>Livsforsikringsrisiko</t>
  </si>
  <si>
    <t>Helseforsikringsrisiko</t>
  </si>
  <si>
    <t>Kapitalkrav Tk</t>
  </si>
  <si>
    <r>
      <t>∑ Korr</t>
    </r>
    <r>
      <rPr>
        <vertAlign val="subscript"/>
        <sz val="10"/>
        <rFont val="Arial"/>
        <family val="2"/>
      </rPr>
      <t>r,k</t>
    </r>
    <r>
      <rPr>
        <sz val="10"/>
        <rFont val="Arial"/>
        <family val="2"/>
      </rPr>
      <t xml:space="preserve"> * T</t>
    </r>
    <r>
      <rPr>
        <vertAlign val="subscript"/>
        <sz val="10"/>
        <rFont val="Arial"/>
        <family val="2"/>
      </rPr>
      <t xml:space="preserve">r </t>
    </r>
    <r>
      <rPr>
        <sz val="10"/>
        <rFont val="Arial"/>
        <family val="2"/>
      </rPr>
      <t>* T</t>
    </r>
    <r>
      <rPr>
        <vertAlign val="subscript"/>
        <sz val="10"/>
        <rFont val="Arial"/>
        <family val="2"/>
      </rPr>
      <t>k</t>
    </r>
  </si>
  <si>
    <t>A.6</t>
  </si>
  <si>
    <t>Samlet kapitalkrav før operasjonell risiko</t>
  </si>
  <si>
    <t>A.7</t>
  </si>
  <si>
    <t>Kapitalkrav for operasjonell risiko</t>
  </si>
  <si>
    <t>A.8</t>
  </si>
  <si>
    <t>Justering for den tapsabsorberende evnen til utsatt skatt</t>
  </si>
  <si>
    <t>A.9</t>
  </si>
  <si>
    <t>Samlet solvenskapitalkrav</t>
  </si>
  <si>
    <t>A.10</t>
  </si>
  <si>
    <t>Ansvarlig kapital</t>
  </si>
  <si>
    <t>A.11</t>
  </si>
  <si>
    <t>Overskudd/underskudd (+/-) av ansvarlig kapital</t>
  </si>
  <si>
    <t>A.12</t>
  </si>
  <si>
    <t>Solvenskapitaldekning</t>
  </si>
  <si>
    <t>A.13</t>
  </si>
  <si>
    <t>Ansvarlig kapital uten overgangsregelen for forsikringstekniske avsetninger</t>
  </si>
  <si>
    <t>A.14</t>
  </si>
  <si>
    <t>Overskudd/underskudd (+/-) av ansvarlig kapital uten overgangsregelen for forsikringstekniske avsetninger</t>
  </si>
  <si>
    <t>A.15</t>
  </si>
  <si>
    <t>Solvenskapitaldekning uten overgangsregelen for forsikringstekniske avsetninger</t>
  </si>
  <si>
    <t>KOMMENTARER</t>
  </si>
  <si>
    <t>A.16</t>
  </si>
  <si>
    <t xml:space="preserve">KOMMENTARER </t>
  </si>
  <si>
    <t>Korrelasjonsmatrise for samlet risiko, ekskl. operasjonell risiko og forsikringsrisiko</t>
  </si>
  <si>
    <t>Korrelasjonsmatrise for samlet risiko, ekskl. operasjonell risiko og avgangsrisiko</t>
  </si>
  <si>
    <t>B.   RENTERISIKO</t>
  </si>
  <si>
    <t>Estimert realistisk verdi av de forsikringsmessige forpliktelsene</t>
  </si>
  <si>
    <r>
      <t>Portefølje</t>
    </r>
    <r>
      <rPr>
        <i/>
        <vertAlign val="subscript"/>
        <sz val="12"/>
        <rFont val="Arial"/>
        <family val="2"/>
      </rPr>
      <t>off</t>
    </r>
  </si>
  <si>
    <r>
      <t>Portefølje</t>
    </r>
    <r>
      <rPr>
        <i/>
        <vertAlign val="subscript"/>
        <sz val="12"/>
        <rFont val="Arial"/>
        <family val="2"/>
      </rPr>
      <t>priv</t>
    </r>
  </si>
  <si>
    <r>
      <t>Portefølje</t>
    </r>
    <r>
      <rPr>
        <i/>
        <vertAlign val="subscript"/>
        <sz val="12"/>
        <rFont val="Arial"/>
        <family val="2"/>
      </rPr>
      <t>fri</t>
    </r>
  </si>
  <si>
    <r>
      <t>Portefølje</t>
    </r>
    <r>
      <rPr>
        <i/>
        <vertAlign val="subscript"/>
        <sz val="12"/>
        <rFont val="Arial"/>
        <family val="2"/>
      </rPr>
      <t>ettår</t>
    </r>
  </si>
  <si>
    <r>
      <t>Portefølje</t>
    </r>
    <r>
      <rPr>
        <i/>
        <vertAlign val="subscript"/>
        <sz val="12"/>
        <rFont val="Arial"/>
        <family val="2"/>
      </rPr>
      <t>inv.valg</t>
    </r>
  </si>
  <si>
    <t>Totalt</t>
  </si>
  <si>
    <t>B.1</t>
  </si>
  <si>
    <t>Premiereserve mv.</t>
  </si>
  <si>
    <t>PR</t>
  </si>
  <si>
    <t>B.2</t>
  </si>
  <si>
    <t>Premiefond, innskuddsfond og fond for regulering av pensjoner mv.</t>
  </si>
  <si>
    <t>PF</t>
  </si>
  <si>
    <t>B.3</t>
  </si>
  <si>
    <t>FA</t>
  </si>
  <si>
    <t>B.4</t>
  </si>
  <si>
    <t>Gjennomsnittlig durasjon i porteføljen</t>
  </si>
  <si>
    <t>D</t>
  </si>
  <si>
    <t>B.5</t>
  </si>
  <si>
    <t>Gjennomsnittlig beregningsrente (garantert rente) i porteføljen</t>
  </si>
  <si>
    <t>g</t>
  </si>
  <si>
    <t>B.6</t>
  </si>
  <si>
    <t>Risikofri markedsrente (justert swap) svarende til durasjonen D</t>
  </si>
  <si>
    <r>
      <t>r</t>
    </r>
    <r>
      <rPr>
        <vertAlign val="subscript"/>
        <sz val="11"/>
        <rFont val="Arial"/>
        <family val="2"/>
      </rPr>
      <t>D</t>
    </r>
  </si>
  <si>
    <t>B.7</t>
  </si>
  <si>
    <t>Rentedifferanse (i prosentpoeng)</t>
  </si>
  <si>
    <t>d</t>
  </si>
  <si>
    <t>B.8</t>
  </si>
  <si>
    <t>Estimert realistisk verdi av garanterte forsikringsmessige ytelser</t>
  </si>
  <si>
    <t>GY</t>
  </si>
  <si>
    <t>B.9</t>
  </si>
  <si>
    <t>Estimert realistisk verdi av fremtidige bonuser (overskuddstildeling til kundene)</t>
  </si>
  <si>
    <t>FB</t>
  </si>
  <si>
    <t>B.10</t>
  </si>
  <si>
    <t>Estimert realistisk verdi av fremtidig rentegarantipremie</t>
  </si>
  <si>
    <t>RP</t>
  </si>
  <si>
    <t>B.11</t>
  </si>
  <si>
    <t>FF</t>
  </si>
  <si>
    <t>Alternativ beregning av estimert realistisk verdi av de forsikringsmessige forpliktelsene</t>
  </si>
  <si>
    <t>B.12</t>
  </si>
  <si>
    <t>Alternativ beregning (overført fra vedlegg 2)</t>
  </si>
  <si>
    <t>Renterisiko knyttet til forsikringsforpliktelsene</t>
  </si>
  <si>
    <t>Rentebindingstid T (år)</t>
  </si>
  <si>
    <t>Relativ endring opp</t>
  </si>
  <si>
    <t>Relativ endring ned</t>
  </si>
  <si>
    <t>B.13</t>
  </si>
  <si>
    <t>Relativ endring i rentenivå i ulike rentebindingsintervaller</t>
  </si>
  <si>
    <t>B.14</t>
  </si>
  <si>
    <t>Relativ endring, opp</t>
  </si>
  <si>
    <t>B.15</t>
  </si>
  <si>
    <t>Relativ endring, ned</t>
  </si>
  <si>
    <t>B.16</t>
  </si>
  <si>
    <t>Stresstestfaktor - renteoppgang</t>
  </si>
  <si>
    <r>
      <t>Δr</t>
    </r>
    <r>
      <rPr>
        <vertAlign val="subscript"/>
        <sz val="12"/>
        <rFont val="Arial"/>
        <family val="2"/>
      </rPr>
      <t>opp,D</t>
    </r>
  </si>
  <si>
    <t>B.17</t>
  </si>
  <si>
    <t>Stresstestfaktor - rentefall</t>
  </si>
  <si>
    <r>
      <t>Δr</t>
    </r>
    <r>
      <rPr>
        <vertAlign val="subscript"/>
        <sz val="12"/>
        <rFont val="Arial"/>
        <family val="2"/>
      </rPr>
      <t>ned,D</t>
    </r>
  </si>
  <si>
    <t>B.18</t>
  </si>
  <si>
    <r>
      <t xml:space="preserve">Beregnet endring i realistisk verdi av forsikringsmessige forpliktelser ved </t>
    </r>
    <r>
      <rPr>
        <b/>
        <sz val="10"/>
        <rFont val="Arial"/>
        <family val="2"/>
      </rPr>
      <t>renteoppgang</t>
    </r>
    <r>
      <rPr>
        <sz val="10"/>
        <rFont val="Arial"/>
        <family val="2"/>
      </rPr>
      <t xml:space="preserve"> </t>
    </r>
  </si>
  <si>
    <r>
      <t>ΔFF</t>
    </r>
    <r>
      <rPr>
        <vertAlign val="subscript"/>
        <sz val="12"/>
        <rFont val="Arial"/>
        <family val="2"/>
      </rPr>
      <t>opp</t>
    </r>
  </si>
  <si>
    <t>B.19</t>
  </si>
  <si>
    <r>
      <t xml:space="preserve">Beregnet endring i realistisk verdi av forsikringsmessige forpliktelser ved </t>
    </r>
    <r>
      <rPr>
        <b/>
        <sz val="10"/>
        <rFont val="Arial"/>
        <family val="2"/>
      </rPr>
      <t>rentefall</t>
    </r>
    <r>
      <rPr>
        <sz val="10"/>
        <rFont val="Arial"/>
        <family val="2"/>
      </rPr>
      <t xml:space="preserve"> </t>
    </r>
  </si>
  <si>
    <r>
      <t>ΔFF</t>
    </r>
    <r>
      <rPr>
        <vertAlign val="subscript"/>
        <sz val="12"/>
        <rFont val="Arial"/>
        <family val="2"/>
      </rPr>
      <t>ned</t>
    </r>
  </si>
  <si>
    <t>Alternativ beregning av renterisiko knyttet til forsikringsforpliktelsene (se vedlegg 2)</t>
  </si>
  <si>
    <t>B.20</t>
  </si>
  <si>
    <t>B.21</t>
  </si>
  <si>
    <t>Renterisiko knyttet til finansielle instrumenter</t>
  </si>
  <si>
    <t>Obligasjoner mv.</t>
  </si>
  <si>
    <t>Norske</t>
  </si>
  <si>
    <t>Utenlandske</t>
  </si>
  <si>
    <t>B.22</t>
  </si>
  <si>
    <t>Markedsverdi</t>
  </si>
  <si>
    <r>
      <t>V</t>
    </r>
    <r>
      <rPr>
        <vertAlign val="subscript"/>
        <sz val="12"/>
        <rFont val="Arial"/>
        <family val="2"/>
      </rPr>
      <t>RV</t>
    </r>
  </si>
  <si>
    <t>B.23</t>
  </si>
  <si>
    <r>
      <t>D</t>
    </r>
    <r>
      <rPr>
        <vertAlign val="subscript"/>
        <sz val="12"/>
        <rFont val="Arial"/>
        <family val="2"/>
      </rPr>
      <t>RV</t>
    </r>
  </si>
  <si>
    <t>B.24</t>
  </si>
  <si>
    <t>Markedsrente (justert swap) svarende til durasjonen</t>
  </si>
  <si>
    <t>B.25</t>
  </si>
  <si>
    <t>B.26</t>
  </si>
  <si>
    <t>B.27</t>
  </si>
  <si>
    <t xml:space="preserve">Beregnet endring i verdi av obligasjoner mv. ved </t>
  </si>
  <si>
    <t>renteøkning</t>
  </si>
  <si>
    <t>B.28</t>
  </si>
  <si>
    <t>Beregnet endring i verdi av obligasjoner mv. ved</t>
  </si>
  <si>
    <t xml:space="preserve">rentefall </t>
  </si>
  <si>
    <t>Rentederivater</t>
  </si>
  <si>
    <t>B.29</t>
  </si>
  <si>
    <t xml:space="preserve">Endring i verdi av rentederivater ved </t>
  </si>
  <si>
    <t>B.30</t>
  </si>
  <si>
    <t>Endring i verdi av rentederivater ved</t>
  </si>
  <si>
    <t>rentefall</t>
  </si>
  <si>
    <t>B.31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</si>
  <si>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renteøkning</t>
    </r>
  </si>
  <si>
    <r>
      <t>ΔFI</t>
    </r>
    <r>
      <rPr>
        <vertAlign val="subscript"/>
        <sz val="12"/>
        <rFont val="Arial"/>
        <family val="2"/>
      </rPr>
      <t>opp</t>
    </r>
  </si>
  <si>
    <t>B.32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</si>
  <si>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rentefall</t>
    </r>
  </si>
  <si>
    <r>
      <t>ΔFI</t>
    </r>
    <r>
      <rPr>
        <vertAlign val="subscript"/>
        <sz val="12"/>
        <rFont val="Arial"/>
        <family val="2"/>
      </rPr>
      <t>ned</t>
    </r>
  </si>
  <si>
    <t>Alternativ beregning av renterisko knyttet til finansielle instrumenter</t>
  </si>
  <si>
    <t>B.33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</si>
  <si>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renteøkning </t>
    </r>
    <r>
      <rPr>
        <sz val="10"/>
        <rFont val="Arial"/>
        <family val="2"/>
      </rPr>
      <t>(overført fra vedlegg 2)</t>
    </r>
  </si>
  <si>
    <t>B.34</t>
  </si>
  <si>
    <r>
      <t xml:space="preserve">Samlet </t>
    </r>
    <r>
      <rPr>
        <sz val="10"/>
        <rFont val="Arial"/>
        <family val="2"/>
      </rPr>
      <t>endring i verdi av renteinstrumenter ved</t>
    </r>
    <r>
      <rPr>
        <b/>
        <sz val="10"/>
        <rFont val="Arial"/>
        <family val="2"/>
      </rPr>
      <t xml:space="preserve"> rentefall </t>
    </r>
    <r>
      <rPr>
        <sz val="10"/>
        <rFont val="Arial"/>
        <family val="2"/>
      </rPr>
      <t>(overført fra vedlegg 2)</t>
    </r>
  </si>
  <si>
    <t>Samlet kapitalkrav for renterisiko</t>
  </si>
  <si>
    <t>B.35</t>
  </si>
  <si>
    <t>Samlet kapitalkrav ved renteøkning</t>
  </si>
  <si>
    <r>
      <t>(ΔFF</t>
    </r>
    <r>
      <rPr>
        <vertAlign val="subscript"/>
        <sz val="12"/>
        <rFont val="Arial"/>
        <family val="2"/>
      </rPr>
      <t>opp</t>
    </r>
    <r>
      <rPr>
        <sz val="10"/>
        <rFont val="Arial"/>
        <family val="2"/>
      </rPr>
      <t>-ΔFI</t>
    </r>
    <r>
      <rPr>
        <vertAlign val="subscript"/>
        <sz val="12"/>
        <rFont val="Arial"/>
        <family val="2"/>
      </rPr>
      <t>opp</t>
    </r>
    <r>
      <rPr>
        <sz val="10"/>
        <rFont val="Arial"/>
        <family val="2"/>
      </rPr>
      <t>)</t>
    </r>
  </si>
  <si>
    <t>B.36</t>
  </si>
  <si>
    <t>Samlet kapitalkrav ved rentefall</t>
  </si>
  <si>
    <r>
      <t>(ΔFF</t>
    </r>
    <r>
      <rPr>
        <vertAlign val="subscript"/>
        <sz val="12"/>
        <rFont val="Arial"/>
        <family val="2"/>
      </rPr>
      <t>ned</t>
    </r>
    <r>
      <rPr>
        <sz val="10"/>
        <rFont val="Arial"/>
        <family val="2"/>
      </rPr>
      <t>-ΔFI</t>
    </r>
    <r>
      <rPr>
        <vertAlign val="subscript"/>
        <sz val="12"/>
        <rFont val="Arial"/>
        <family val="2"/>
      </rPr>
      <t>ned</t>
    </r>
    <r>
      <rPr>
        <sz val="10"/>
        <rFont val="Arial"/>
        <family val="2"/>
      </rPr>
      <t>)</t>
    </r>
  </si>
  <si>
    <t>B.37</t>
  </si>
  <si>
    <r>
      <t>M</t>
    </r>
    <r>
      <rPr>
        <b/>
        <vertAlign val="subscript"/>
        <sz val="12"/>
        <rFont val="Arial"/>
        <family val="2"/>
      </rPr>
      <t>R</t>
    </r>
  </si>
  <si>
    <t>C.   AKSJERISIKO</t>
  </si>
  <si>
    <t>Aksjebeholdning</t>
  </si>
  <si>
    <t>Type 1</t>
  </si>
  <si>
    <t>Type 2</t>
  </si>
  <si>
    <t>Infrastruktur</t>
  </si>
  <si>
    <t>C.1</t>
  </si>
  <si>
    <t>C.2</t>
  </si>
  <si>
    <t>Stresstestfaktor (etter justeringsmekanisme)</t>
  </si>
  <si>
    <t>C.3</t>
  </si>
  <si>
    <t>Verdiendring</t>
  </si>
  <si>
    <t>Aksjederivater</t>
  </si>
  <si>
    <t>C.4</t>
  </si>
  <si>
    <t xml:space="preserve">Verdiendring ved markedsfall som i C.2 </t>
  </si>
  <si>
    <t>C.5</t>
  </si>
  <si>
    <t>Total verdiendring</t>
  </si>
  <si>
    <t>C.6</t>
  </si>
  <si>
    <t>Korrelasjonsmatrise for aksjerisikoer</t>
  </si>
  <si>
    <r>
      <t>∑ Korr</t>
    </r>
    <r>
      <rPr>
        <b/>
        <vertAlign val="subscript"/>
        <sz val="10"/>
        <rFont val="Arial"/>
        <family val="2"/>
      </rPr>
      <t>r,k</t>
    </r>
    <r>
      <rPr>
        <b/>
        <sz val="10"/>
        <rFont val="Arial"/>
        <family val="2"/>
      </rPr>
      <t xml:space="preserve"> * T</t>
    </r>
    <r>
      <rPr>
        <b/>
        <vertAlign val="subscript"/>
        <sz val="10"/>
        <rFont val="Arial"/>
        <family val="2"/>
      </rPr>
      <t xml:space="preserve">r </t>
    </r>
    <r>
      <rPr>
        <b/>
        <sz val="10"/>
        <rFont val="Arial"/>
        <family val="2"/>
      </rPr>
      <t>* T</t>
    </r>
    <r>
      <rPr>
        <b/>
        <vertAlign val="subscript"/>
        <sz val="10"/>
        <rFont val="Arial"/>
        <family val="2"/>
      </rPr>
      <t>k</t>
    </r>
  </si>
  <si>
    <t>C.7</t>
  </si>
  <si>
    <t>Samlet kapitalkrav for aksjerisiko</t>
  </si>
  <si>
    <r>
      <t>M</t>
    </r>
    <r>
      <rPr>
        <b/>
        <vertAlign val="subscript"/>
        <sz val="12"/>
        <rFont val="Arial"/>
        <family val="2"/>
      </rPr>
      <t>A</t>
    </r>
  </si>
  <si>
    <t>D.   EIENDOMSRISIKO</t>
  </si>
  <si>
    <t>Fast eiendom</t>
  </si>
  <si>
    <t>D.1</t>
  </si>
  <si>
    <t>D.2</t>
  </si>
  <si>
    <t>Stresstestfaktor</t>
  </si>
  <si>
    <t>D.3</t>
  </si>
  <si>
    <t xml:space="preserve">Verdiendring på eiendomsderivater ved markedsfall på 25 prosent </t>
  </si>
  <si>
    <t>D.4</t>
  </si>
  <si>
    <t>Samlet kapitalkrav for eiendomsrisiko</t>
  </si>
  <si>
    <r>
      <t>M</t>
    </r>
    <r>
      <rPr>
        <b/>
        <vertAlign val="subscript"/>
        <sz val="12"/>
        <rFont val="Arial"/>
        <family val="2"/>
      </rPr>
      <t>E</t>
    </r>
  </si>
  <si>
    <t>E.   VALUTARISIKO</t>
  </si>
  <si>
    <t>E.1</t>
  </si>
  <si>
    <t>Samlet netto valutaposisjon (ekskl. valutarelaterte derivater)</t>
  </si>
  <si>
    <t>E.2</t>
  </si>
  <si>
    <t>E.3</t>
  </si>
  <si>
    <r>
      <t xml:space="preserve">Endring i markedsverdi på valutarelaterte derivater ved en umiddelbar </t>
    </r>
    <r>
      <rPr>
        <b/>
        <sz val="10"/>
        <rFont val="Arial"/>
        <family val="2"/>
      </rPr>
      <t>økning</t>
    </r>
    <r>
      <rPr>
        <sz val="10"/>
        <rFont val="Arial"/>
        <family val="2"/>
      </rPr>
      <t xml:space="preserve"> på 25% i verdien av alle utenlandske valutaer mot norske kroner</t>
    </r>
  </si>
  <si>
    <t>E.4</t>
  </si>
  <si>
    <r>
      <t xml:space="preserve">Endring i markedsverdi på valutarelaterte derivater ved et umiddelbart </t>
    </r>
    <r>
      <rPr>
        <b/>
        <sz val="10"/>
        <rFont val="Arial"/>
        <family val="2"/>
      </rPr>
      <t>fall</t>
    </r>
    <r>
      <rPr>
        <sz val="10"/>
        <rFont val="Arial"/>
        <family val="2"/>
      </rPr>
      <t xml:space="preserve"> på 25% i verdien av alle utenlandske valutaer mot norske kroner</t>
    </r>
  </si>
  <si>
    <t>E.5</t>
  </si>
  <si>
    <t xml:space="preserve">Samlet kapitalkrav for valutarisiko </t>
  </si>
  <si>
    <r>
      <t>M</t>
    </r>
    <r>
      <rPr>
        <b/>
        <vertAlign val="subscript"/>
        <sz val="12"/>
        <rFont val="Arial"/>
        <family val="2"/>
      </rPr>
      <t>V</t>
    </r>
  </si>
  <si>
    <t>F.   KREDITTMARGINRISIKO (SPREADRISIKO)</t>
  </si>
  <si>
    <t>F.4 Statsobligasjoner i egen valuta (utenfor spreadmodulen)</t>
  </si>
  <si>
    <t>F.1</t>
  </si>
  <si>
    <t>Rating</t>
  </si>
  <si>
    <t>Risikoklasse</t>
  </si>
  <si>
    <t>Spreadendring (F(rating))</t>
  </si>
  <si>
    <t>Sum markedsverdi per ratingklasse (MV)</t>
  </si>
  <si>
    <r>
      <t>Gj.sn. vektet effektiv durasjon per ratingklasse (dur</t>
    </r>
    <r>
      <rPr>
        <sz val="10"/>
        <rFont val="Arial"/>
        <family val="2"/>
      </rPr>
      <t>)</t>
    </r>
  </si>
  <si>
    <t>m(dur)</t>
  </si>
  <si>
    <t>Utstederland</t>
  </si>
  <si>
    <t xml:space="preserve">Sum markedsverdi </t>
  </si>
  <si>
    <t>Av dette til amortisert kost</t>
  </si>
  <si>
    <t>Gj.sn. vektet effektiv durasjon hele porteføljen</t>
  </si>
  <si>
    <t>AAA</t>
  </si>
  <si>
    <t>Norge</t>
  </si>
  <si>
    <t>AA</t>
  </si>
  <si>
    <t>Danmark</t>
  </si>
  <si>
    <t>A</t>
  </si>
  <si>
    <t>Finland</t>
  </si>
  <si>
    <t>BBB</t>
  </si>
  <si>
    <t>Frankrike</t>
  </si>
  <si>
    <t>BB</t>
  </si>
  <si>
    <t>Hellas</t>
  </si>
  <si>
    <t>B</t>
  </si>
  <si>
    <t>Irland</t>
  </si>
  <si>
    <t>CCC eller lavere</t>
  </si>
  <si>
    <t xml:space="preserve">Italia </t>
  </si>
  <si>
    <t>Ikke ratet</t>
  </si>
  <si>
    <t>-</t>
  </si>
  <si>
    <t>Luxembourg</t>
  </si>
  <si>
    <t>Obl m fortrinnsrett AAA</t>
  </si>
  <si>
    <t>Nederland</t>
  </si>
  <si>
    <t>Obl m fortrinnsrett AA</t>
  </si>
  <si>
    <t>Polen</t>
  </si>
  <si>
    <t>Infrastruktur AAA</t>
  </si>
  <si>
    <t>Portugal</t>
  </si>
  <si>
    <t>Infrastruktur AA</t>
  </si>
  <si>
    <t>Spania</t>
  </si>
  <si>
    <t>Infrastruktur A</t>
  </si>
  <si>
    <t>Storbritannia</t>
  </si>
  <si>
    <t>Infrastruktur ikke ratet</t>
  </si>
  <si>
    <t>Sverige</t>
  </si>
  <si>
    <t>Enkelteiendom</t>
  </si>
  <si>
    <t>Tyskland</t>
  </si>
  <si>
    <t>F.2</t>
  </si>
  <si>
    <t xml:space="preserve">Verdiendring på kredittderivater ved spreadutgang som spesifisert i kolonne 3 i tabellen over </t>
  </si>
  <si>
    <t>Øvrige EU/EØS-land</t>
  </si>
  <si>
    <t>Sveits</t>
  </si>
  <si>
    <t>F.3</t>
  </si>
  <si>
    <t>Samlet kapitalkrav for kredittmarginrisiko</t>
  </si>
  <si>
    <r>
      <t>M</t>
    </r>
    <r>
      <rPr>
        <b/>
        <vertAlign val="subscript"/>
        <sz val="12"/>
        <rFont val="Arial"/>
        <family val="2"/>
      </rPr>
      <t>S</t>
    </r>
  </si>
  <si>
    <t>USA</t>
  </si>
  <si>
    <t>Japan</t>
  </si>
  <si>
    <t>Andre utenfor EU/EØS</t>
  </si>
  <si>
    <t>G.   KONSENTRASJONSRISIKO</t>
  </si>
  <si>
    <t>G.1</t>
  </si>
  <si>
    <t>Eiendeler som inngår i beregningsgrunnlaget for konsentrasjonsrisiko</t>
  </si>
  <si>
    <t>G.2</t>
  </si>
  <si>
    <t>Navn på motpart</t>
  </si>
  <si>
    <t>Eksponering (beløp)</t>
  </si>
  <si>
    <t>Eksponering (pst.)</t>
  </si>
  <si>
    <t>Terskel (pst.)</t>
  </si>
  <si>
    <t>Overskytende eksponering</t>
  </si>
  <si>
    <t>Risikofaktor</t>
  </si>
  <si>
    <t>Kons</t>
  </si>
  <si>
    <r>
      <t>Kons</t>
    </r>
    <r>
      <rPr>
        <vertAlign val="superscript"/>
        <sz val="10"/>
        <rFont val="Arial"/>
        <family val="2"/>
      </rPr>
      <t>2</t>
    </r>
  </si>
  <si>
    <t>G.3</t>
  </si>
  <si>
    <t>Samlet kapitalkrav for konsentrasjonsrisiko</t>
  </si>
  <si>
    <r>
      <t>M</t>
    </r>
    <r>
      <rPr>
        <b/>
        <vertAlign val="subscript"/>
        <sz val="12"/>
        <rFont val="Arial"/>
        <family val="2"/>
      </rPr>
      <t>K</t>
    </r>
  </si>
  <si>
    <t>H.   MARKEDSRISIKO</t>
  </si>
  <si>
    <t>H.1</t>
  </si>
  <si>
    <t>Korrelasjonsmatrise for markedsrisikoer, rentenedgang.</t>
  </si>
  <si>
    <t>Renterisiko</t>
  </si>
  <si>
    <t>Aksjerisiko</t>
  </si>
  <si>
    <t>Eiendomsrisiko</t>
  </si>
  <si>
    <t>Valutarisiko</t>
  </si>
  <si>
    <t>Kredittmarginrisiko</t>
  </si>
  <si>
    <t>Konsentrasjonsrisiko</t>
  </si>
  <si>
    <t>Kapitalkrav Mr</t>
  </si>
  <si>
    <t>Kapitalkrav Mk</t>
  </si>
  <si>
    <r>
      <t>T</t>
    </r>
    <r>
      <rPr>
        <b/>
        <vertAlign val="subscript"/>
        <sz val="12"/>
        <rFont val="Arial"/>
        <family val="2"/>
      </rPr>
      <t>ned</t>
    </r>
  </si>
  <si>
    <t>H.2</t>
  </si>
  <si>
    <t>Korrelasjonsmatrise for markedsrisikoer, renteøkning.</t>
  </si>
  <si>
    <r>
      <t>T</t>
    </r>
    <r>
      <rPr>
        <b/>
        <vertAlign val="subscript"/>
        <sz val="12"/>
        <rFont val="Arial"/>
        <family val="2"/>
      </rPr>
      <t>opp</t>
    </r>
  </si>
  <si>
    <t>H.3</t>
  </si>
  <si>
    <r>
      <t>T</t>
    </r>
    <r>
      <rPr>
        <b/>
        <vertAlign val="subscript"/>
        <sz val="12"/>
        <rFont val="Arial"/>
        <family val="2"/>
      </rPr>
      <t>M</t>
    </r>
  </si>
  <si>
    <t>I.   LIVSFORSIKRINGSRISIKO</t>
  </si>
  <si>
    <t>Beste estimat på avsetning for garanterte ytelser</t>
  </si>
  <si>
    <t>I.1</t>
  </si>
  <si>
    <t>Beste estimat avsetning for garanterte ytelser</t>
  </si>
  <si>
    <r>
      <t>BE</t>
    </r>
    <r>
      <rPr>
        <b/>
        <vertAlign val="subscript"/>
        <sz val="10"/>
        <rFont val="Arial"/>
        <family val="2"/>
      </rPr>
      <t>G</t>
    </r>
  </si>
  <si>
    <t>I.1a</t>
  </si>
  <si>
    <t>- herav beste estimat dekninger med opplevelsesrisiko</t>
  </si>
  <si>
    <r>
      <t xml:space="preserve"> BE</t>
    </r>
    <r>
      <rPr>
        <vertAlign val="subscript"/>
        <sz val="10"/>
        <rFont val="Arial"/>
        <family val="2"/>
      </rPr>
      <t>GO</t>
    </r>
  </si>
  <si>
    <t>I.1b</t>
  </si>
  <si>
    <t>- herav beste estimat dekninger med dødsrisiko</t>
  </si>
  <si>
    <r>
      <t xml:space="preserve"> BE</t>
    </r>
    <r>
      <rPr>
        <vertAlign val="subscript"/>
        <sz val="10"/>
        <rFont val="Arial"/>
        <family val="2"/>
      </rPr>
      <t>GD</t>
    </r>
  </si>
  <si>
    <t>I.1c</t>
  </si>
  <si>
    <t>- herav beste estimat dekninger med uførerisiko, eks uføredekninger i helsemodulen jf. I.1d</t>
  </si>
  <si>
    <r>
      <t xml:space="preserve"> BE</t>
    </r>
    <r>
      <rPr>
        <vertAlign val="subscript"/>
        <sz val="10"/>
        <rFont val="Arial"/>
        <family val="2"/>
      </rPr>
      <t>GU</t>
    </r>
  </si>
  <si>
    <t xml:space="preserve">I.1d </t>
  </si>
  <si>
    <t>- herav beste estimat dekninger med uførerisiko i helsemodulen</t>
  </si>
  <si>
    <r>
      <t xml:space="preserve"> BE</t>
    </r>
    <r>
      <rPr>
        <vertAlign val="subscript"/>
        <sz val="10"/>
        <rFont val="Arial"/>
        <family val="2"/>
      </rPr>
      <t>GUH</t>
    </r>
  </si>
  <si>
    <t>DØDSRISIKO</t>
  </si>
  <si>
    <t>Kapitalkrav dødsrisiko for ettårige forsikringsdekninger</t>
  </si>
  <si>
    <t>I.2</t>
  </si>
  <si>
    <t xml:space="preserve">Kapitalkrav </t>
  </si>
  <si>
    <r>
      <t>TD</t>
    </r>
    <r>
      <rPr>
        <vertAlign val="subscript"/>
        <sz val="10"/>
        <rFont val="Arial"/>
        <family val="2"/>
      </rPr>
      <t>R</t>
    </r>
  </si>
  <si>
    <t xml:space="preserve">Kapitalkrav dødsrisiko for flerårige forsikringer </t>
  </si>
  <si>
    <t>I.3</t>
  </si>
  <si>
    <t>Avsetning ved økt dødelighet</t>
  </si>
  <si>
    <r>
      <t>SA</t>
    </r>
    <r>
      <rPr>
        <vertAlign val="subscript"/>
        <sz val="10"/>
        <rFont val="Arial"/>
        <family val="2"/>
      </rPr>
      <t>D</t>
    </r>
  </si>
  <si>
    <t>I.4</t>
  </si>
  <si>
    <r>
      <t>TD</t>
    </r>
    <r>
      <rPr>
        <vertAlign val="subscript"/>
        <sz val="10"/>
        <rFont val="Arial"/>
        <family val="2"/>
      </rPr>
      <t>E</t>
    </r>
  </si>
  <si>
    <t>I.5</t>
  </si>
  <si>
    <t>Sum kapitalkrav for dødsrisiko</t>
  </si>
  <si>
    <t>TD</t>
  </si>
  <si>
    <t>OPPLEVELSESRISIKO</t>
  </si>
  <si>
    <t>I.6</t>
  </si>
  <si>
    <t>Avsetning ved redusert dødelighet</t>
  </si>
  <si>
    <r>
      <t>SA</t>
    </r>
    <r>
      <rPr>
        <vertAlign val="subscript"/>
        <sz val="10"/>
        <rFont val="Arial"/>
        <family val="2"/>
      </rPr>
      <t>O</t>
    </r>
  </si>
  <si>
    <t>I.7</t>
  </si>
  <si>
    <t>Kapitalkrav for opplevelsesrisiko</t>
  </si>
  <si>
    <t>TO</t>
  </si>
  <si>
    <t>UFØRERISIKO</t>
  </si>
  <si>
    <t>Kapitalkrav uførerisiko</t>
  </si>
  <si>
    <t>I.8</t>
  </si>
  <si>
    <t>Avsetning ved økt uførhet</t>
  </si>
  <si>
    <r>
      <t>SA</t>
    </r>
    <r>
      <rPr>
        <vertAlign val="subscript"/>
        <sz val="10"/>
        <rFont val="Arial"/>
        <family val="2"/>
      </rPr>
      <t>U</t>
    </r>
  </si>
  <si>
    <t>I.9</t>
  </si>
  <si>
    <t>Sum kapitalkrav for uførhetsrisiko</t>
  </si>
  <si>
    <t>TU</t>
  </si>
  <si>
    <t>AVGANGSRISIKO</t>
  </si>
  <si>
    <t xml:space="preserve">Kapitalkrav avgangsrisiko </t>
  </si>
  <si>
    <t>I.10</t>
  </si>
  <si>
    <t>Kapitalkrav avgangsrisiko</t>
  </si>
  <si>
    <t>TL</t>
  </si>
  <si>
    <t>LIVSFORSIKRINGSRISIKO</t>
  </si>
  <si>
    <t>I.11</t>
  </si>
  <si>
    <t>Korrelasjonsmatrise for livsforsikringsrisikoer</t>
  </si>
  <si>
    <t>Dødsrisiko</t>
  </si>
  <si>
    <t>Opplevelsesrisiko</t>
  </si>
  <si>
    <t>Uførerisiko</t>
  </si>
  <si>
    <t>Avgang</t>
  </si>
  <si>
    <t>Avgangsrisiko</t>
  </si>
  <si>
    <t>I.12</t>
  </si>
  <si>
    <r>
      <t>T</t>
    </r>
    <r>
      <rPr>
        <b/>
        <vertAlign val="subscript"/>
        <sz val="10"/>
        <rFont val="Arial"/>
        <family val="2"/>
      </rPr>
      <t>L</t>
    </r>
  </si>
  <si>
    <t>Hjelpeberegn.</t>
  </si>
  <si>
    <t>Korrelasjonsmatrise for livsforsikringsrisikoer eks. avgangsrisiko</t>
  </si>
  <si>
    <t>Dødelighetsrisiko</t>
  </si>
  <si>
    <t>Uførhetsrisiko</t>
  </si>
  <si>
    <t>I.13</t>
  </si>
  <si>
    <t>Samlet kapitalkrav for livsforsikringsrisiko eks. avgangsrisiko</t>
  </si>
  <si>
    <r>
      <t>TL</t>
    </r>
    <r>
      <rPr>
        <b/>
        <vertAlign val="subscript"/>
        <sz val="10"/>
        <rFont val="Arial"/>
        <family val="2"/>
      </rPr>
      <t>eksavg</t>
    </r>
  </si>
  <si>
    <t>J.   HELSEFORSIKRINGSRISIKO</t>
  </si>
  <si>
    <t>Uførhetsrisiko - forsikring mot inntektstap</t>
  </si>
  <si>
    <t>J.1</t>
  </si>
  <si>
    <r>
      <t>SA</t>
    </r>
    <r>
      <rPr>
        <vertAlign val="subscript"/>
        <sz val="10"/>
        <rFont val="Arial"/>
        <family val="2"/>
      </rPr>
      <t>UH</t>
    </r>
  </si>
  <si>
    <t>J.2</t>
  </si>
  <si>
    <t>Kapitalkrav for helseforsikringsrisiko</t>
  </si>
  <si>
    <r>
      <t>T</t>
    </r>
    <r>
      <rPr>
        <b/>
        <vertAlign val="subscript"/>
        <sz val="10"/>
        <rFont val="Arial"/>
        <family val="2"/>
      </rPr>
      <t>H</t>
    </r>
  </si>
  <si>
    <t>K.   MOTPARTSRISIKO</t>
  </si>
  <si>
    <t>Motpartsrisiko for type 1-eksponering</t>
  </si>
  <si>
    <t>Gjenforsikring</t>
  </si>
  <si>
    <t>K.1</t>
  </si>
  <si>
    <t>Kapitalkrav forsikringsrisiko uten gjenforsikring (kun undermodulene som påvirkes av gjenforsikringsavtale)</t>
  </si>
  <si>
    <t>fylles ut ved forenklet beregning av risikoreduserende effekt (RE)</t>
  </si>
  <si>
    <t>K.2</t>
  </si>
  <si>
    <t>Kapitalkrav forsikringsrisiko med gjenforsikring (kun undermodulene som påvirkes av gjenforsikringsavtale)</t>
  </si>
  <si>
    <t>K.3</t>
  </si>
  <si>
    <t>Gjenfors.andel/ fordring på motpart</t>
  </si>
  <si>
    <t>Markedsverdi av sikkerhet</t>
  </si>
  <si>
    <r>
      <t xml:space="preserve">Risikoreduserende effekt (RE) </t>
    </r>
    <r>
      <rPr>
        <b/>
        <i/>
        <sz val="10"/>
        <rFont val="Arial"/>
        <family val="2"/>
      </rPr>
      <t>standard beregning</t>
    </r>
  </si>
  <si>
    <r>
      <t>Risikoreduserende effekt (RE)</t>
    </r>
    <r>
      <rPr>
        <b/>
        <i/>
        <sz val="10"/>
        <rFont val="Arial"/>
        <family val="2"/>
      </rPr>
      <t xml:space="preserve"> forenklet beregning</t>
    </r>
  </si>
  <si>
    <t>LGD</t>
  </si>
  <si>
    <r>
      <t>LGD</t>
    </r>
    <r>
      <rPr>
        <vertAlign val="superscript"/>
        <sz val="10"/>
        <rFont val="Arial"/>
        <family val="2"/>
      </rPr>
      <t>2</t>
    </r>
  </si>
  <si>
    <r>
      <t>LGD</t>
    </r>
    <r>
      <rPr>
        <vertAlign val="superscript"/>
        <sz val="10"/>
        <color indexed="22"/>
        <rFont val="Arial"/>
        <family val="2"/>
      </rPr>
      <t>2</t>
    </r>
  </si>
  <si>
    <t>Ja</t>
  </si>
  <si>
    <t>Nei</t>
  </si>
  <si>
    <t>Sum alle motparter som inngår i forenklet beregning</t>
  </si>
  <si>
    <t xml:space="preserve">Sum alle motparter </t>
  </si>
  <si>
    <t>Derivatavtaler</t>
  </si>
  <si>
    <t>K.4</t>
  </si>
  <si>
    <t>Markedsverdi av derivat som ikke er risikoreduserende kontrakt</t>
  </si>
  <si>
    <t>Markedsverdi av derivat som er risikoreduserende kontrakt</t>
  </si>
  <si>
    <t>Bankinnskudd</t>
  </si>
  <si>
    <t>K.5</t>
  </si>
  <si>
    <t>Verdi</t>
  </si>
  <si>
    <t>Sum bankinnskudd</t>
  </si>
  <si>
    <r>
      <t>Misligholdsannsynlighet, V</t>
    </r>
    <r>
      <rPr>
        <b/>
        <i/>
        <u/>
        <vertAlign val="subscript"/>
        <sz val="10"/>
        <rFont val="Arial"/>
        <family val="2"/>
      </rPr>
      <t>inter</t>
    </r>
    <r>
      <rPr>
        <b/>
        <i/>
        <u/>
        <sz val="10"/>
        <rFont val="Arial"/>
        <family val="2"/>
      </rPr>
      <t xml:space="preserve"> og V</t>
    </r>
    <r>
      <rPr>
        <b/>
        <i/>
        <u/>
        <vertAlign val="subscript"/>
        <sz val="10"/>
        <rFont val="Arial"/>
        <family val="2"/>
      </rPr>
      <t>intra</t>
    </r>
  </si>
  <si>
    <t>K.6</t>
  </si>
  <si>
    <t>Ratet</t>
  </si>
  <si>
    <t xml:space="preserve">PD </t>
  </si>
  <si>
    <t>TLGD</t>
  </si>
  <si>
    <r>
      <t>TLGD</t>
    </r>
    <r>
      <rPr>
        <vertAlign val="superscript"/>
        <sz val="10"/>
        <rFont val="Arial"/>
        <family val="2"/>
      </rPr>
      <t>2</t>
    </r>
  </si>
  <si>
    <t>Matrise u</t>
  </si>
  <si>
    <t>Ikke-ratete motparter</t>
  </si>
  <si>
    <t>Ikke-ratet, men solvensmargin&gt;=400%</t>
  </si>
  <si>
    <t>Ikke-ratet bank, men underlagt kapitalkravsforordningen (575/2013)</t>
  </si>
  <si>
    <t>Andre ikke-ratete motparter</t>
  </si>
  <si>
    <r>
      <t>V</t>
    </r>
    <r>
      <rPr>
        <vertAlign val="subscript"/>
        <sz val="10"/>
        <rFont val="Arial"/>
        <family val="2"/>
      </rPr>
      <t>inter</t>
    </r>
  </si>
  <si>
    <r>
      <t>V</t>
    </r>
    <r>
      <rPr>
        <vertAlign val="subscript"/>
        <sz val="10"/>
        <rFont val="Arial"/>
        <family val="2"/>
      </rPr>
      <t>intra</t>
    </r>
  </si>
  <si>
    <t>K.7</t>
  </si>
  <si>
    <t>Varians til tapsfordelingen type 1-eksponeringer</t>
  </si>
  <si>
    <t>V</t>
  </si>
  <si>
    <r>
      <t>3</t>
    </r>
    <r>
      <rPr>
        <sz val="10"/>
        <rFont val="Calibri"/>
        <family val="2"/>
      </rPr>
      <t>σ</t>
    </r>
  </si>
  <si>
    <t>5σ</t>
  </si>
  <si>
    <t>Samlet antatt kostnad ved erstatning av alle type 1-motparter ved mislighold</t>
  </si>
  <si>
    <t>∑LGD</t>
  </si>
  <si>
    <t>K.8</t>
  </si>
  <si>
    <t>Samlet kapitalkrav for type 1-eksponering</t>
  </si>
  <si>
    <r>
      <t>K</t>
    </r>
    <r>
      <rPr>
        <vertAlign val="subscript"/>
        <sz val="10"/>
        <rFont val="Arial"/>
        <family val="2"/>
      </rPr>
      <t>type1</t>
    </r>
  </si>
  <si>
    <t>Motpartsrisiko for type 2-eksponering</t>
  </si>
  <si>
    <t>K.9</t>
  </si>
  <si>
    <t xml:space="preserve">Summen av verdi av type 2-eksponering eksklusive boliglån og forfalte fordringer på formidlere </t>
  </si>
  <si>
    <t>E</t>
  </si>
  <si>
    <t>K.10</t>
  </si>
  <si>
    <t>Summen av fordringer på formidlere, forfalt i mer enn 3 måneder</t>
  </si>
  <si>
    <r>
      <t>E</t>
    </r>
    <r>
      <rPr>
        <i/>
        <vertAlign val="subscript"/>
        <sz val="10"/>
        <rFont val="Arial"/>
        <family val="2"/>
      </rPr>
      <t>forfalt</t>
    </r>
  </si>
  <si>
    <t>K.11</t>
  </si>
  <si>
    <t>Boliglån utover 60 % av pantesikkerhet (verdi av lån)</t>
  </si>
  <si>
    <r>
      <t>Boliglån</t>
    </r>
    <r>
      <rPr>
        <i/>
        <vertAlign val="subscript"/>
        <sz val="10"/>
        <rFont val="Arial"/>
        <family val="2"/>
      </rPr>
      <t>&gt;60%</t>
    </r>
  </si>
  <si>
    <t>K.12</t>
  </si>
  <si>
    <t>Samlet kapitalkrav for type 2-eksponering</t>
  </si>
  <si>
    <r>
      <t>K</t>
    </r>
    <r>
      <rPr>
        <i/>
        <vertAlign val="subscript"/>
        <sz val="10"/>
        <rFont val="Arial"/>
        <family val="2"/>
      </rPr>
      <t>type 2</t>
    </r>
  </si>
  <si>
    <t>K.13</t>
  </si>
  <si>
    <r>
      <t>T</t>
    </r>
    <r>
      <rPr>
        <i/>
        <vertAlign val="subscript"/>
        <sz val="10"/>
        <rFont val="Arial"/>
        <family val="2"/>
      </rPr>
      <t>K</t>
    </r>
  </si>
  <si>
    <t>L.   OPERASJONELL RISIKO</t>
  </si>
  <si>
    <t>L.1</t>
  </si>
  <si>
    <t>Beste estimat</t>
  </si>
  <si>
    <r>
      <t>BE</t>
    </r>
    <r>
      <rPr>
        <vertAlign val="subscript"/>
        <sz val="10"/>
        <rFont val="Arial"/>
        <family val="2"/>
      </rPr>
      <t>tot</t>
    </r>
  </si>
  <si>
    <t>L.2</t>
  </si>
  <si>
    <r>
      <t>T</t>
    </r>
    <r>
      <rPr>
        <b/>
        <vertAlign val="subscript"/>
        <sz val="10"/>
        <rFont val="Arial"/>
        <family val="2"/>
      </rPr>
      <t>O</t>
    </r>
  </si>
  <si>
    <t>NB - Økning i avsetningene/negative marginer = positivt fortegn, Reduksjon i avsetningene/positive marginer = negativt fortegn</t>
  </si>
  <si>
    <r>
      <t xml:space="preserve">M.  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 xml:space="preserve">FORENKLET BEREGNING AV BESTE ESTIMAT OG RISIKOMARGIN </t>
    </r>
  </si>
  <si>
    <t>SUM</t>
  </si>
  <si>
    <t>M.1a</t>
  </si>
  <si>
    <t>M.1b</t>
  </si>
  <si>
    <t>Konstatert behov for styrking av avsetningene (oppreservering til K2013)   (+)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</si>
  <si>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FA</t>
    </r>
  </si>
  <si>
    <t>M.1c</t>
  </si>
  <si>
    <t>Andel av M.1b som forventes dekket av fremtidig avkastningsoverskudd/positivt risikoresultat (-)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</si>
  <si>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FA</t>
    </r>
    <r>
      <rPr>
        <vertAlign val="subscript"/>
        <sz val="10"/>
        <rFont val="Arial"/>
        <family val="2"/>
      </rPr>
      <t>K</t>
    </r>
  </si>
  <si>
    <t>M.1</t>
  </si>
  <si>
    <t>Sum forpliktelser hensyntatt oppreservering med forventet kundefinansiering</t>
  </si>
  <si>
    <r>
      <t>FA</t>
    </r>
    <r>
      <rPr>
        <vertAlign val="subscript"/>
        <sz val="10"/>
        <rFont val="Arial"/>
        <family val="2"/>
      </rPr>
      <t>NY</t>
    </r>
  </si>
  <si>
    <t>M.2</t>
  </si>
  <si>
    <t>Nåverdi fremtidig rentegarantipremie (-)</t>
  </si>
  <si>
    <r>
      <t>NF</t>
    </r>
    <r>
      <rPr>
        <vertAlign val="subscript"/>
        <sz val="10"/>
        <rFont val="Arial"/>
        <family val="2"/>
      </rPr>
      <t>RP</t>
    </r>
  </si>
  <si>
    <t>M.3</t>
  </si>
  <si>
    <t>Netto korreksjon for rentegaranti  (- ved positiv margin, + ved negativ margin)</t>
  </si>
  <si>
    <r>
      <t>NF</t>
    </r>
    <r>
      <rPr>
        <vertAlign val="subscript"/>
        <sz val="10"/>
        <rFont val="Arial"/>
        <family val="2"/>
      </rPr>
      <t>RN</t>
    </r>
  </si>
  <si>
    <t>M.4</t>
  </si>
  <si>
    <t>Nåverdi øvrige fortjenesteelementer for kapitalforvaltning  (- ved forventet lønnsomhet, +  ved forventet tap)</t>
  </si>
  <si>
    <r>
      <t>NF</t>
    </r>
    <r>
      <rPr>
        <vertAlign val="subscript"/>
        <sz val="10"/>
        <rFont val="Arial"/>
        <family val="2"/>
      </rPr>
      <t>KF</t>
    </r>
  </si>
  <si>
    <t>M.5</t>
  </si>
  <si>
    <t>Nåverdi fortjeneste personrisiko (-)</t>
  </si>
  <si>
    <r>
      <t>NF</t>
    </r>
    <r>
      <rPr>
        <vertAlign val="subscript"/>
        <sz val="10"/>
        <rFont val="Arial"/>
        <family val="2"/>
      </rPr>
      <t>PR</t>
    </r>
  </si>
  <si>
    <t>M.6</t>
  </si>
  <si>
    <t>Nåverdi fortjeneste administrasjon (- ved positiv margin, + ved negativ margin)</t>
  </si>
  <si>
    <r>
      <t>NF</t>
    </r>
    <r>
      <rPr>
        <vertAlign val="subscript"/>
        <sz val="10"/>
        <rFont val="Arial"/>
        <family val="2"/>
      </rPr>
      <t>AD</t>
    </r>
  </si>
  <si>
    <t>M.7</t>
  </si>
  <si>
    <t>Nåverdi fremtidige regelmessige kapitalinnskudd (-)</t>
  </si>
  <si>
    <r>
      <t>NF</t>
    </r>
    <r>
      <rPr>
        <vertAlign val="subscript"/>
        <sz val="10"/>
        <rFont val="Arial"/>
        <family val="2"/>
      </rPr>
      <t>KI_tot</t>
    </r>
  </si>
  <si>
    <t>M.8</t>
  </si>
  <si>
    <t>Fremtidige regelmessige kapitalinnskudd medregnet per portefølje</t>
  </si>
  <si>
    <r>
      <t>NF</t>
    </r>
    <r>
      <rPr>
        <vertAlign val="subscript"/>
        <sz val="10"/>
        <rFont val="Arial"/>
        <family val="2"/>
      </rPr>
      <t>KI</t>
    </r>
  </si>
  <si>
    <t>M.9</t>
  </si>
  <si>
    <t>Korreksjon for avvik som følge av overgang til markedsrente  (- ved reduksjon i avsetningene, + ved økning i avsetningene)</t>
  </si>
  <si>
    <t>RA</t>
  </si>
  <si>
    <r>
      <t>Forsikringsbuffer i  beste estimat KA</t>
    </r>
    <r>
      <rPr>
        <vertAlign val="subscript"/>
        <sz val="10"/>
        <rFont val="Arial"/>
        <family val="2"/>
      </rPr>
      <t>pos</t>
    </r>
  </si>
  <si>
    <t>M.10</t>
  </si>
  <si>
    <t>Korreksjon for avvik mellom dagens tariff og beste estimat biometri  (- ved positiv margin, + ved negativ margin)</t>
  </si>
  <si>
    <t>KA</t>
  </si>
  <si>
    <t>M.10a</t>
  </si>
  <si>
    <t>- herav avvik mellom dagens tariffer for opplevelse og beste estimat for opplevelse</t>
  </si>
  <si>
    <r>
      <t>KA</t>
    </r>
    <r>
      <rPr>
        <vertAlign val="subscript"/>
        <sz val="10"/>
        <rFont val="Arial"/>
        <family val="2"/>
      </rPr>
      <t>O</t>
    </r>
  </si>
  <si>
    <t>M.10b</t>
  </si>
  <si>
    <t>- herav avvik mellom dagens tariffer for død og beste estimat for død</t>
  </si>
  <si>
    <r>
      <t>KA</t>
    </r>
    <r>
      <rPr>
        <vertAlign val="subscript"/>
        <sz val="10"/>
        <rFont val="Arial"/>
        <family val="2"/>
      </rPr>
      <t>D</t>
    </r>
  </si>
  <si>
    <t>M.10c</t>
  </si>
  <si>
    <t>- herav avvik mellom dagens tariffer for uførhet og beste estimat for uførhet</t>
  </si>
  <si>
    <r>
      <t>KA</t>
    </r>
    <r>
      <rPr>
        <vertAlign val="subscript"/>
        <sz val="10"/>
        <rFont val="Arial"/>
        <family val="2"/>
      </rPr>
      <t>U</t>
    </r>
  </si>
  <si>
    <t>M.11</t>
  </si>
  <si>
    <t>BE</t>
  </si>
  <si>
    <t>M.12</t>
  </si>
  <si>
    <t>Estimert risikomargin for forsikringsmessige forpliktelser</t>
  </si>
  <si>
    <t>RM</t>
  </si>
  <si>
    <t>N.   ANSVARLIG KAPITAL</t>
  </si>
  <si>
    <t>Uten overgangsregelen</t>
  </si>
  <si>
    <t>N.1</t>
  </si>
  <si>
    <t>Innskutt egenkapital (post 10 i balansen for pensjonsforetak)</t>
  </si>
  <si>
    <t>IE</t>
  </si>
  <si>
    <t>N.2</t>
  </si>
  <si>
    <t>Risikoutjevningsfondet (post 11.1 i balansen for pensjonsforetak)</t>
  </si>
  <si>
    <t>RF</t>
  </si>
  <si>
    <t>N.3</t>
  </si>
  <si>
    <t>Annen opptjent egenkapital (post 11.2 i balansen for pensjonsforetak)</t>
  </si>
  <si>
    <t>AE</t>
  </si>
  <si>
    <t>N.4</t>
  </si>
  <si>
    <t xml:space="preserve">Egenkapital eks. delårsresultat </t>
  </si>
  <si>
    <t>EK</t>
  </si>
  <si>
    <t>N.5</t>
  </si>
  <si>
    <t>Delårsresultatet før overskuddstildeling til kunder og skatt</t>
  </si>
  <si>
    <t>DR</t>
  </si>
  <si>
    <t>N.6</t>
  </si>
  <si>
    <t>Immaterielle eiendeler (post 1 i balansen for pensjonsforetak)</t>
  </si>
  <si>
    <t>IM</t>
  </si>
  <si>
    <t>N.7</t>
  </si>
  <si>
    <t>Eiendeler ved skatt (utsatt skattefordel) (post 4.3 i balansen for pensjonsforetak)</t>
  </si>
  <si>
    <r>
      <t>US</t>
    </r>
    <r>
      <rPr>
        <vertAlign val="subscript"/>
        <sz val="10"/>
        <rFont val="Arial"/>
        <family val="2"/>
      </rPr>
      <t>eiend</t>
    </r>
  </si>
  <si>
    <t>N.8</t>
  </si>
  <si>
    <t>Forpliktelser ved utsatt skatt (post 15.2.2 i balansen for pensjonsforetak)</t>
  </si>
  <si>
    <r>
      <t>US</t>
    </r>
    <r>
      <rPr>
        <vertAlign val="subscript"/>
        <sz val="10"/>
        <rFont val="Arial"/>
        <family val="2"/>
      </rPr>
      <t>forpl</t>
    </r>
  </si>
  <si>
    <t>N.9</t>
  </si>
  <si>
    <t>JA</t>
  </si>
  <si>
    <t>N.10</t>
  </si>
  <si>
    <t>Effekt av overgangsregelen</t>
  </si>
  <si>
    <t>OR</t>
  </si>
  <si>
    <t>N.11</t>
  </si>
  <si>
    <t>Fondsobligasjoner, kapitalgruppe 1</t>
  </si>
  <si>
    <r>
      <t>FO</t>
    </r>
    <r>
      <rPr>
        <vertAlign val="subscript"/>
        <sz val="10"/>
        <rFont val="Arial"/>
        <family val="2"/>
      </rPr>
      <t>K</t>
    </r>
  </si>
  <si>
    <t>N.12</t>
  </si>
  <si>
    <t>Ansvarlig lånekapital tatt opp før 1. januar 2019, kapitalgruppe 2</t>
  </si>
  <si>
    <r>
      <t>AL</t>
    </r>
    <r>
      <rPr>
        <vertAlign val="subscript"/>
        <sz val="10"/>
        <rFont val="Arial"/>
        <family val="2"/>
      </rPr>
      <t>før</t>
    </r>
  </si>
  <si>
    <t>N.13</t>
  </si>
  <si>
    <t>Ansvarlig lånekapital tatt opp etter 1. januar 2019, kapitalgruppe 2</t>
  </si>
  <si>
    <r>
      <t>AL</t>
    </r>
    <r>
      <rPr>
        <vertAlign val="subscript"/>
        <sz val="10"/>
        <rFont val="Arial"/>
        <family val="2"/>
      </rPr>
      <t>2</t>
    </r>
  </si>
  <si>
    <t>N.14</t>
  </si>
  <si>
    <t>Ansvarlig lånekapital, kapitalgruppe 3</t>
  </si>
  <si>
    <r>
      <t>AL</t>
    </r>
    <r>
      <rPr>
        <vertAlign val="subscript"/>
        <sz val="10"/>
        <rFont val="Arial"/>
        <family val="2"/>
      </rPr>
      <t>3</t>
    </r>
  </si>
  <si>
    <t>N.15</t>
  </si>
  <si>
    <t>Supplerende kapital godkjent av Finanstilsynet i kapitalgruppe 2</t>
  </si>
  <si>
    <r>
      <t>SU</t>
    </r>
    <r>
      <rPr>
        <vertAlign val="subscript"/>
        <sz val="10"/>
        <rFont val="Arial"/>
        <family val="2"/>
      </rPr>
      <t>2</t>
    </r>
  </si>
  <si>
    <t>N.16</t>
  </si>
  <si>
    <t>Supplerende kapital godkjent av Finanstilsynet i kapitalgruppe 3</t>
  </si>
  <si>
    <r>
      <t>SU</t>
    </r>
    <r>
      <rPr>
        <vertAlign val="subscript"/>
        <sz val="10"/>
        <rFont val="Arial"/>
        <family val="2"/>
      </rPr>
      <t>3</t>
    </r>
  </si>
  <si>
    <t>N.17</t>
  </si>
  <si>
    <t>Korrigert egenkapital</t>
  </si>
  <si>
    <r>
      <t>EK</t>
    </r>
    <r>
      <rPr>
        <vertAlign val="subscript"/>
        <sz val="10"/>
        <rFont val="Arial"/>
        <family val="2"/>
      </rPr>
      <t>korr</t>
    </r>
  </si>
  <si>
    <t>N.18</t>
  </si>
  <si>
    <t>Kapital i kapitalgruppe 1</t>
  </si>
  <si>
    <r>
      <t>K</t>
    </r>
    <r>
      <rPr>
        <vertAlign val="subscript"/>
        <sz val="10"/>
        <rFont val="Arial"/>
        <family val="2"/>
      </rPr>
      <t>1</t>
    </r>
  </si>
  <si>
    <t>N.19</t>
  </si>
  <si>
    <t>Tilgjengelig kapital i kapitalgruppe 2</t>
  </si>
  <si>
    <r>
      <t>K</t>
    </r>
    <r>
      <rPr>
        <vertAlign val="subscript"/>
        <sz val="10"/>
        <rFont val="Arial"/>
        <family val="2"/>
      </rPr>
      <t>2</t>
    </r>
  </si>
  <si>
    <t>N.20</t>
  </si>
  <si>
    <t>Tellende kapital i kapitalgruppe 2</t>
  </si>
  <si>
    <r>
      <t>K</t>
    </r>
    <r>
      <rPr>
        <vertAlign val="subscript"/>
        <sz val="10"/>
        <rFont val="Arial"/>
        <family val="2"/>
      </rPr>
      <t>2_tellende</t>
    </r>
  </si>
  <si>
    <t>N.21</t>
  </si>
  <si>
    <t>Tellende kapital i kapitalgruppe 3</t>
  </si>
  <si>
    <r>
      <t>K</t>
    </r>
    <r>
      <rPr>
        <vertAlign val="subscript"/>
        <sz val="10"/>
        <rFont val="Arial"/>
        <family val="2"/>
      </rPr>
      <t>3_tellende</t>
    </r>
  </si>
  <si>
    <t>N.22</t>
  </si>
  <si>
    <t>Ansvarlig kapital i kapitalgruppe 1, 2 og 3</t>
  </si>
  <si>
    <r>
      <t>AK</t>
    </r>
    <r>
      <rPr>
        <b/>
        <vertAlign val="subscript"/>
        <sz val="10"/>
        <rFont val="Arial"/>
        <family val="2"/>
      </rPr>
      <t>1-3</t>
    </r>
  </si>
  <si>
    <t>N.23</t>
  </si>
  <si>
    <t>N.24</t>
  </si>
  <si>
    <t>N.25</t>
  </si>
  <si>
    <t>Bufferfond</t>
  </si>
  <si>
    <t>BF</t>
  </si>
  <si>
    <t>N.26</t>
  </si>
  <si>
    <t>Premiefond for ytelsesbasert foretakspensjon med investeringsvalg, jf. LOF § 11-1</t>
  </si>
  <si>
    <r>
      <t>PF</t>
    </r>
    <r>
      <rPr>
        <sz val="9"/>
        <rFont val="Arial"/>
        <family val="2"/>
      </rPr>
      <t>yi</t>
    </r>
  </si>
  <si>
    <t>N.27</t>
  </si>
  <si>
    <t>Merverdi (eller mindreverdi) av eiendeler utover bokført verdi</t>
  </si>
  <si>
    <r>
      <t>MV</t>
    </r>
    <r>
      <rPr>
        <vertAlign val="subscript"/>
        <sz val="10"/>
        <rFont val="Arial"/>
        <family val="2"/>
      </rPr>
      <t>E</t>
    </r>
  </si>
  <si>
    <t>N.28</t>
  </si>
  <si>
    <t>Korreksjon, beste estimat for død og uførhet som gir buffer ift. bokførte avsetninger</t>
  </si>
  <si>
    <r>
      <t>KA</t>
    </r>
    <r>
      <rPr>
        <vertAlign val="subscript"/>
        <sz val="10"/>
        <rFont val="Arial"/>
        <family val="2"/>
      </rPr>
      <t>tellende</t>
    </r>
  </si>
  <si>
    <t>Samlet ansvarlig kapital</t>
  </si>
  <si>
    <t>AK</t>
  </si>
  <si>
    <t>Samlet ansvarlig kapital uten overgangsregelen</t>
  </si>
  <si>
    <r>
      <t>AK</t>
    </r>
    <r>
      <rPr>
        <b/>
        <vertAlign val="subscript"/>
        <sz val="10"/>
        <rFont val="Arial"/>
        <family val="2"/>
      </rPr>
      <t>uten</t>
    </r>
  </si>
  <si>
    <t>O.</t>
  </si>
  <si>
    <t>RENTEKURVE</t>
  </si>
  <si>
    <t>O.1</t>
  </si>
  <si>
    <t>BEREGNET RENTEKURVE I NOK</t>
  </si>
  <si>
    <t>Rentekurve publisert av EIOPA</t>
  </si>
  <si>
    <t>Forfall innen (år)</t>
  </si>
  <si>
    <t>(MED VOLATILITETSJUSTERING)</t>
  </si>
  <si>
    <t>β.   ALTERNATIV BEREGNING AV FORSIKRINGSMESIGE FORPLIKTELSER OG RENTERISIKO</t>
  </si>
  <si>
    <t>β.1</t>
  </si>
  <si>
    <r>
      <t>FA</t>
    </r>
    <r>
      <rPr>
        <vertAlign val="subscript"/>
        <sz val="10"/>
        <rFont val="Arial"/>
        <family val="2"/>
      </rPr>
      <t>p,T</t>
    </r>
  </si>
  <si>
    <t>T</t>
  </si>
  <si>
    <r>
      <t>FA</t>
    </r>
    <r>
      <rPr>
        <vertAlign val="subscript"/>
        <sz val="10"/>
        <rFont val="Arial"/>
        <family val="2"/>
      </rPr>
      <t>p</t>
    </r>
  </si>
  <si>
    <t>logisk test</t>
  </si>
  <si>
    <t>β.2</t>
  </si>
  <si>
    <t>Gjennomsnittlig grunnlagsrente (garantert rente) i porteføljen</t>
  </si>
  <si>
    <r>
      <t>g</t>
    </r>
    <r>
      <rPr>
        <vertAlign val="subscript"/>
        <sz val="10"/>
        <rFont val="Arial"/>
        <family val="2"/>
      </rPr>
      <t>p,T</t>
    </r>
  </si>
  <si>
    <t>β.3</t>
  </si>
  <si>
    <r>
      <t>GY</t>
    </r>
    <r>
      <rPr>
        <vertAlign val="subscript"/>
        <sz val="10"/>
        <rFont val="Arial"/>
        <family val="2"/>
      </rPr>
      <t>p,T</t>
    </r>
  </si>
  <si>
    <r>
      <t>GY</t>
    </r>
    <r>
      <rPr>
        <vertAlign val="subscript"/>
        <sz val="10"/>
        <rFont val="Arial"/>
        <family val="2"/>
      </rPr>
      <t>p</t>
    </r>
  </si>
  <si>
    <t>β.4</t>
  </si>
  <si>
    <t>Estimert realistisk verdi av fremtidige bonuser (overskuddsdeling til kundene)</t>
  </si>
  <si>
    <r>
      <t>FB</t>
    </r>
    <r>
      <rPr>
        <vertAlign val="subscript"/>
        <sz val="10"/>
        <rFont val="Arial"/>
        <family val="2"/>
      </rPr>
      <t>p,T</t>
    </r>
  </si>
  <si>
    <r>
      <t>FB</t>
    </r>
    <r>
      <rPr>
        <vertAlign val="subscript"/>
        <sz val="10"/>
        <rFont val="Arial"/>
        <family val="2"/>
      </rPr>
      <t>p</t>
    </r>
  </si>
  <si>
    <t>β.5</t>
  </si>
  <si>
    <r>
      <t>RP</t>
    </r>
    <r>
      <rPr>
        <vertAlign val="subscript"/>
        <sz val="10"/>
        <rFont val="Arial"/>
        <family val="2"/>
      </rPr>
      <t>p,T</t>
    </r>
  </si>
  <si>
    <r>
      <t>RP</t>
    </r>
    <r>
      <rPr>
        <vertAlign val="subscript"/>
        <sz val="10"/>
        <rFont val="Arial"/>
        <family val="2"/>
      </rPr>
      <t>p</t>
    </r>
  </si>
  <si>
    <t>β.6</t>
  </si>
  <si>
    <r>
      <t>FF</t>
    </r>
    <r>
      <rPr>
        <vertAlign val="subscript"/>
        <sz val="10"/>
        <rFont val="Arial"/>
        <family val="2"/>
      </rPr>
      <t>p</t>
    </r>
  </si>
  <si>
    <t>Renterisiko knyttet til forsikringsmessige forpliktelser</t>
  </si>
  <si>
    <t>β.7</t>
  </si>
  <si>
    <r>
      <t>d</t>
    </r>
    <r>
      <rPr>
        <vertAlign val="subscript"/>
        <sz val="10"/>
        <rFont val="Arial"/>
        <family val="2"/>
      </rPr>
      <t>p,T</t>
    </r>
  </si>
  <si>
    <t>β.8</t>
  </si>
  <si>
    <t>Rentebindingstid t (år)</t>
  </si>
  <si>
    <r>
      <t>Renteoppgang - Δr</t>
    </r>
    <r>
      <rPr>
        <vertAlign val="subscript"/>
        <sz val="12"/>
        <rFont val="Arial"/>
        <family val="2"/>
      </rPr>
      <t>opp,T</t>
    </r>
  </si>
  <si>
    <r>
      <t>Rentenedgang - Δr</t>
    </r>
    <r>
      <rPr>
        <vertAlign val="subscript"/>
        <sz val="12"/>
        <rFont val="Arial"/>
        <family val="2"/>
      </rPr>
      <t>ned,T</t>
    </r>
  </si>
  <si>
    <t>β.9</t>
  </si>
  <si>
    <t xml:space="preserve">Beregnet endring i virkelig verdi av forsikringsmessige forpliktelser ved renteoppgang </t>
  </si>
  <si>
    <r>
      <t>ΔFF</t>
    </r>
    <r>
      <rPr>
        <vertAlign val="subscript"/>
        <sz val="10"/>
        <rFont val="Arial"/>
        <family val="2"/>
      </rPr>
      <t>opp,p,T</t>
    </r>
  </si>
  <si>
    <r>
      <t>ΔFF</t>
    </r>
    <r>
      <rPr>
        <vertAlign val="subscript"/>
        <sz val="10"/>
        <rFont val="Arial"/>
        <family val="2"/>
      </rPr>
      <t>opp,p</t>
    </r>
  </si>
  <si>
    <t>β.10</t>
  </si>
  <si>
    <t xml:space="preserve">Beregnet endring i virkelig verdi av forsikringsmessige forpliktelser ved rentenedgang </t>
  </si>
  <si>
    <r>
      <t>ΔFF</t>
    </r>
    <r>
      <rPr>
        <vertAlign val="subscript"/>
        <sz val="10"/>
        <rFont val="Arial"/>
        <family val="2"/>
      </rPr>
      <t>ned,p,T</t>
    </r>
  </si>
  <si>
    <r>
      <t>ΔFF</t>
    </r>
    <r>
      <rPr>
        <vertAlign val="subscript"/>
        <sz val="10"/>
        <rFont val="Arial"/>
        <family val="2"/>
      </rPr>
      <t>ned,p</t>
    </r>
  </si>
  <si>
    <t>β.11</t>
  </si>
  <si>
    <t>Kontantstrøm knyttet til rentebærende verdipapirer mv. i år T</t>
  </si>
  <si>
    <r>
      <t>KS</t>
    </r>
    <r>
      <rPr>
        <b/>
        <vertAlign val="subscript"/>
        <sz val="12"/>
        <rFont val="Arial"/>
        <family val="2"/>
      </rPr>
      <t>RV,T</t>
    </r>
  </si>
  <si>
    <r>
      <t>q</t>
    </r>
    <r>
      <rPr>
        <b/>
        <vertAlign val="subscript"/>
        <sz val="11"/>
        <rFont val="Arial"/>
        <family val="2"/>
      </rPr>
      <t>opp,T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</si>
  <si>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/(1+q</t>
    </r>
    <r>
      <rPr>
        <b/>
        <vertAlign val="subscript"/>
        <sz val="11"/>
        <rFont val="Arial"/>
        <family val="2"/>
      </rPr>
      <t>opp,T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</si>
  <si>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/(1+r</t>
    </r>
    <r>
      <rPr>
        <b/>
        <vertAlign val="subscript"/>
        <sz val="11"/>
        <rFont val="Arial"/>
        <family val="2"/>
      </rPr>
      <t>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</si>
  <si>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r>
      <t>w</t>
    </r>
    <r>
      <rPr>
        <b/>
        <vertAlign val="subscript"/>
        <sz val="11"/>
        <rFont val="Arial"/>
        <family val="2"/>
      </rPr>
      <t>ned,T</t>
    </r>
  </si>
  <si>
    <r>
      <t>KS</t>
    </r>
    <r>
      <rPr>
        <b/>
        <vertAlign val="subscript"/>
        <sz val="11"/>
        <rFont val="Arial"/>
        <family val="2"/>
      </rPr>
      <t>RV,T</t>
    </r>
    <r>
      <rPr>
        <b/>
        <sz val="10"/>
        <rFont val="Arial"/>
        <family val="2"/>
      </rPr>
      <t>/(1+w</t>
    </r>
    <r>
      <rPr>
        <b/>
        <vertAlign val="subscript"/>
        <sz val="11"/>
        <rFont val="Arial"/>
        <family val="2"/>
      </rPr>
      <t>ned,T</t>
    </r>
    <r>
      <rPr>
        <b/>
        <sz val="10"/>
        <rFont val="Arial"/>
        <family val="2"/>
      </rPr>
      <t>)</t>
    </r>
    <r>
      <rPr>
        <b/>
        <vertAlign val="superscript"/>
        <sz val="11"/>
        <rFont val="Arial"/>
        <family val="2"/>
      </rPr>
      <t>T-0,5</t>
    </r>
  </si>
  <si>
    <t>β.12</t>
  </si>
  <si>
    <t>Verdiendring av finansielle instrumenter ved renteøkning</t>
  </si>
  <si>
    <t>β.13</t>
  </si>
  <si>
    <t>Verdiendring av finansielle instrumenter ved rentefall</t>
  </si>
  <si>
    <t>Oppdatert</t>
  </si>
  <si>
    <t>dd.mm.yy</t>
  </si>
  <si>
    <t>Antagelser beste estimat</t>
  </si>
  <si>
    <t xml:space="preserve"> Produkt (fyll ut)</t>
  </si>
  <si>
    <t>Kontraktens grense</t>
  </si>
  <si>
    <t>Oppreservering (P.1a-c)</t>
  </si>
  <si>
    <t>Rentegarantipremie og verdi av rentegaranti</t>
  </si>
  <si>
    <t>Fortjenesteelementer</t>
  </si>
  <si>
    <t>Beste estimat opplevelse</t>
  </si>
  <si>
    <t>Beste estimat dødelighet</t>
  </si>
  <si>
    <t>Beste estimat uførhet</t>
  </si>
  <si>
    <t>Andre forutsetninger</t>
  </si>
  <si>
    <r>
      <t>Portefølje</t>
    </r>
    <r>
      <rPr>
        <b/>
        <i/>
        <vertAlign val="subscript"/>
        <sz val="12"/>
        <rFont val="Arial"/>
        <family val="2"/>
      </rPr>
      <t>off</t>
    </r>
  </si>
  <si>
    <r>
      <t>Portefølje</t>
    </r>
    <r>
      <rPr>
        <b/>
        <i/>
        <vertAlign val="subscript"/>
        <sz val="12"/>
        <rFont val="Arial"/>
        <family val="2"/>
      </rPr>
      <t>priv</t>
    </r>
  </si>
  <si>
    <r>
      <t>Portefølje</t>
    </r>
    <r>
      <rPr>
        <b/>
        <i/>
        <vertAlign val="subscript"/>
        <sz val="12"/>
        <rFont val="Arial"/>
        <family val="2"/>
      </rPr>
      <t>fri</t>
    </r>
  </si>
  <si>
    <r>
      <t>Portefølje</t>
    </r>
    <r>
      <rPr>
        <b/>
        <i/>
        <vertAlign val="subscript"/>
        <sz val="12"/>
        <rFont val="Arial"/>
        <family val="2"/>
      </rPr>
      <t>ettår</t>
    </r>
  </si>
  <si>
    <r>
      <t>Portefølje</t>
    </r>
    <r>
      <rPr>
        <b/>
        <i/>
        <vertAlign val="subscript"/>
        <sz val="12"/>
        <rFont val="Arial"/>
        <family val="2"/>
      </rPr>
      <t>inv.valg</t>
    </r>
  </si>
  <si>
    <t>Forutsetninger sist endret (dato)</t>
  </si>
  <si>
    <t>Hva skal rapporteres:</t>
  </si>
  <si>
    <t>Produkt (delbransje)</t>
  </si>
  <si>
    <t>Kontraktsgrense som er lagt til grunn for ulike produkter/delbransjer</t>
  </si>
  <si>
    <t>Oppreservering</t>
  </si>
  <si>
    <t>Antall år for oppreservering, vurderinger rundt eiers andel</t>
  </si>
  <si>
    <t>Rentegarantipremie</t>
  </si>
  <si>
    <t>Beste estimat dødelighet/uførhet</t>
  </si>
  <si>
    <t>Oppgi dødelighet pr. dekning/produkt og gi et anslag på marginen i forhold til gjeldende tariff. For kollektiv pensjon: startdødelighet (formel evt. tabell i eget vedlegg*) og fremskrivning (nivå og antall år) dersom disse avviker fra K2013, anslå margin til gjeldende tariff. *Metode for fastsettelse av startdødelighet må beskrives presist.</t>
  </si>
  <si>
    <t>Uførhet: Oppgi marginer til gjeldende tariff per produkt</t>
  </si>
  <si>
    <t>Estimert realistisk verdi av forsikringsmessige forpliktelser, ekskl. bufferfond og risikomargin</t>
  </si>
  <si>
    <t>Sum bokførte forsikringsmessige avsetninger, ekskl. bufferfond</t>
  </si>
  <si>
    <t>Beste estimat på forpliktelsene (forenklet) ekskl. bufferfond</t>
  </si>
  <si>
    <t>BE og RM inkl. bufferfond</t>
  </si>
  <si>
    <t>Bokførte forsikringsmessige avsetninger, ekskl. bufferfond</t>
  </si>
  <si>
    <t>Bruker forenklet beregning?         (Ja / Nei)</t>
  </si>
  <si>
    <t>Justering i avsetninger ved overgang til markedsverdi og korreksjon for beste estimat død/uførhet (sistnevnte bare hvis høyere enn dagens avsetninger, se også N.26)</t>
  </si>
  <si>
    <t xml:space="preserve">Oppgi  hvlike delbransjer som inngår i de ulike porteføljene </t>
  </si>
  <si>
    <t>Q4/2024</t>
  </si>
  <si>
    <t>Antagelser om dagens rentegarantipremie (sats for årlig rentegarantipremie i prosent av aktuelle deler av forsikringskapitalen), mulighet for reprising, antall fremskrivningsår, diskonteringsmetode mv.</t>
  </si>
  <si>
    <t>Avgang/flytting, antagelser om fremtidige regelmessige kapitalinnskudd medregnet per produkt</t>
  </si>
  <si>
    <t>Antagelser per dekning/produkt, dagens fortjenesteelement per produkt (sats for årlig fortjenesteelement i prosent av aktuelt grunnlag), antall fremskrivningsår, diskonteringsmetode mv.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</si>
</sst>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kr&quot;\ * #,##0.00_);_(&quot;kr&quot;\ * \(#,##0.00\);_(&quot;kr&quot;\ * &quot;-&quot;??_);_(@_)"/>
    <numFmt numFmtId="165" formatCode="0.0\ %"/>
    <numFmt numFmtId="166" formatCode="0.000"/>
    <numFmt numFmtId="167" formatCode="0.0"/>
    <numFmt numFmtId="168" formatCode="0.0000000"/>
    <numFmt numFmtId="169" formatCode="0.0000"/>
    <numFmt numFmtId="170" formatCode="#,##0.0"/>
    <numFmt numFmtId="171" formatCode="#,##0.000"/>
    <numFmt numFmtId="172" formatCode="#,##0.0000"/>
    <numFmt numFmtId="173" formatCode="0.000\ %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bscript"/>
      <sz val="12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name val="Helv"/>
    </font>
    <font>
      <sz val="14"/>
      <name val="Arial"/>
      <family val="2"/>
    </font>
    <font>
      <i/>
      <sz val="10"/>
      <name val="Arial"/>
      <family val="2"/>
    </font>
    <font>
      <sz val="10"/>
      <name val="CG Times (W1)"/>
      <family val="1"/>
    </font>
    <font>
      <b/>
      <sz val="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bscript"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vertAlign val="subscript"/>
      <sz val="10"/>
      <name val="Arial"/>
      <family val="2"/>
    </font>
    <font>
      <sz val="10"/>
      <color indexed="22"/>
      <name val="Arial"/>
      <family val="2"/>
    </font>
    <font>
      <b/>
      <i/>
      <u/>
      <sz val="10"/>
      <name val="Arial"/>
      <family val="2"/>
    </font>
    <font>
      <b/>
      <vertAlign val="subscript"/>
      <sz val="12"/>
      <name val="Arial"/>
      <family val="2"/>
    </font>
    <font>
      <sz val="10"/>
      <name val="Times New Roman"/>
      <family val="1"/>
    </font>
    <font>
      <sz val="10"/>
      <color indexed="44"/>
      <name val="Arial"/>
      <family val="2"/>
    </font>
    <font>
      <i/>
      <vertAlign val="subscript"/>
      <sz val="12"/>
      <name val="Arial"/>
      <family val="2"/>
    </font>
    <font>
      <vertAlign val="subscript"/>
      <sz val="11"/>
      <name val="Arial"/>
      <family val="2"/>
    </font>
    <font>
      <b/>
      <vertAlign val="subscript"/>
      <sz val="11"/>
      <name val="Arial"/>
      <family val="2"/>
    </font>
    <font>
      <b/>
      <vertAlign val="superscript"/>
      <sz val="11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7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i/>
      <vertAlign val="subscript"/>
      <sz val="10"/>
      <name val="Arial"/>
      <family val="2"/>
    </font>
    <font>
      <i/>
      <sz val="10"/>
      <color indexed="22"/>
      <name val="Arial"/>
      <family val="2"/>
    </font>
    <font>
      <vertAlign val="superscript"/>
      <sz val="10"/>
      <color indexed="22"/>
      <name val="Arial"/>
      <family val="2"/>
    </font>
    <font>
      <u/>
      <sz val="10"/>
      <name val="Arial"/>
      <family val="2"/>
    </font>
    <font>
      <u/>
      <sz val="10"/>
      <color indexed="22"/>
      <name val="Arial"/>
      <family val="2"/>
    </font>
    <font>
      <b/>
      <i/>
      <u/>
      <vertAlign val="subscript"/>
      <sz val="10"/>
      <name val="Arial"/>
      <family val="2"/>
    </font>
    <font>
      <sz val="10"/>
      <name val="Calibri"/>
      <family val="2"/>
    </font>
    <font>
      <sz val="10"/>
      <name val="Arial"/>
      <family val="2"/>
    </font>
    <font>
      <b/>
      <i/>
      <vertAlign val="subscript"/>
      <sz val="12"/>
      <name val="Arial"/>
      <family val="2"/>
    </font>
    <font>
      <b/>
      <sz val="20"/>
      <name val="Arial"/>
      <family val="2"/>
    </font>
    <font>
      <sz val="10"/>
      <name val="Symbol"/>
      <family val="1"/>
      <charset val="2"/>
    </font>
    <font>
      <b/>
      <sz val="9"/>
      <color indexed="81"/>
      <name val="Tahoma"/>
      <family val="2"/>
    </font>
    <font>
      <sz val="10"/>
      <color theme="0" tint="-0.249977111117893"/>
      <name val="Arial"/>
      <family val="2"/>
    </font>
    <font>
      <b/>
      <i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9">
    <xf numFmtId="0" fontId="0" fillId="0" borderId="0"/>
    <xf numFmtId="0" fontId="6" fillId="0" borderId="0"/>
    <xf numFmtId="0" fontId="42" fillId="0" borderId="0"/>
    <xf numFmtId="0" fontId="15" fillId="0" borderId="0"/>
    <xf numFmtId="0" fontId="12" fillId="0" borderId="0"/>
    <xf numFmtId="9" fontId="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4" fillId="0" borderId="22" applyNumberFormat="0" applyFill="0" applyAlignment="0" applyProtection="0"/>
  </cellStyleXfs>
  <cellXfs count="448">
    <xf numFmtId="0" fontId="0" fillId="0" borderId="0" xfId="0"/>
    <xf numFmtId="3" fontId="4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Protection="1"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0" fillId="2" borderId="7" xfId="0" applyFill="1" applyBorder="1" applyProtection="1">
      <protection locked="0"/>
    </xf>
    <xf numFmtId="0" fontId="9" fillId="4" borderId="3" xfId="0" applyFont="1" applyFill="1" applyBorder="1" applyProtection="1">
      <protection locked="0"/>
    </xf>
    <xf numFmtId="0" fontId="9" fillId="4" borderId="4" xfId="0" applyFont="1" applyFill="1" applyBorder="1" applyProtection="1">
      <protection locked="0"/>
    </xf>
    <xf numFmtId="0" fontId="9" fillId="4" borderId="5" xfId="0" applyFont="1" applyFill="1" applyBorder="1" applyProtection="1">
      <protection locked="0"/>
    </xf>
    <xf numFmtId="0" fontId="9" fillId="2" borderId="0" xfId="0" applyFont="1" applyFill="1" applyProtection="1">
      <protection locked="0"/>
    </xf>
    <xf numFmtId="0" fontId="9" fillId="4" borderId="8" xfId="0" applyFont="1" applyFill="1" applyBorder="1" applyProtection="1">
      <protection locked="0"/>
    </xf>
    <xf numFmtId="0" fontId="9" fillId="2" borderId="0" xfId="0" applyFont="1" applyFill="1" applyAlignment="1" applyProtection="1">
      <alignment horizontal="center"/>
      <protection locked="0"/>
    </xf>
    <xf numFmtId="49" fontId="8" fillId="4" borderId="9" xfId="0" applyNumberFormat="1" applyFont="1" applyFill="1" applyBorder="1" applyAlignment="1" applyProtection="1">
      <alignment horizontal="right"/>
      <protection locked="0"/>
    </xf>
    <xf numFmtId="0" fontId="8" fillId="4" borderId="9" xfId="0" applyFont="1" applyFill="1" applyBorder="1" applyProtection="1">
      <protection locked="0"/>
    </xf>
    <xf numFmtId="0" fontId="11" fillId="2" borderId="0" xfId="0" applyFont="1" applyFill="1" applyProtection="1">
      <protection locked="0"/>
    </xf>
    <xf numFmtId="0" fontId="4" fillId="2" borderId="0" xfId="4" applyFont="1" applyFill="1" applyAlignment="1" applyProtection="1">
      <alignment horizontal="right"/>
      <protection locked="0"/>
    </xf>
    <xf numFmtId="0" fontId="8" fillId="2" borderId="1" xfId="0" applyFont="1" applyFill="1" applyBorder="1" applyProtection="1">
      <protection locked="0"/>
    </xf>
    <xf numFmtId="0" fontId="13" fillId="2" borderId="1" xfId="0" applyFont="1" applyFill="1" applyBorder="1" applyProtection="1">
      <protection locked="0"/>
    </xf>
    <xf numFmtId="0" fontId="11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8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11" fillId="2" borderId="4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171" fontId="0" fillId="5" borderId="2" xfId="0" applyNumberForma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3" fillId="2" borderId="7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2" borderId="3" xfId="0" applyFont="1" applyFill="1" applyBorder="1" applyProtection="1">
      <protection locked="0"/>
    </xf>
    <xf numFmtId="0" fontId="3" fillId="6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166" fontId="3" fillId="2" borderId="0" xfId="0" applyNumberFormat="1" applyFont="1" applyFill="1" applyProtection="1">
      <protection locked="0"/>
    </xf>
    <xf numFmtId="0" fontId="3" fillId="2" borderId="12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6" borderId="9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vertical="center"/>
      <protection locked="0"/>
    </xf>
    <xf numFmtId="167" fontId="0" fillId="2" borderId="9" xfId="0" applyNumberFormat="1" applyFill="1" applyBorder="1" applyAlignment="1" applyProtection="1">
      <alignment horizontal="center" vertical="center"/>
      <protection locked="0"/>
    </xf>
    <xf numFmtId="167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171" fontId="4" fillId="5" borderId="2" xfId="0" applyNumberFormat="1" applyFont="1" applyFill="1" applyBorder="1" applyProtection="1">
      <protection locked="0"/>
    </xf>
    <xf numFmtId="171" fontId="4" fillId="5" borderId="2" xfId="0" applyNumberFormat="1" applyFont="1" applyFill="1" applyBorder="1" applyAlignment="1" applyProtection="1">
      <alignment horizontal="right"/>
      <protection locked="0"/>
    </xf>
    <xf numFmtId="171" fontId="0" fillId="3" borderId="14" xfId="0" applyNumberFormat="1" applyFill="1" applyBorder="1" applyAlignment="1" applyProtection="1">
      <alignment horizontal="right"/>
      <protection locked="0"/>
    </xf>
    <xf numFmtId="9" fontId="4" fillId="3" borderId="2" xfId="0" applyNumberFormat="1" applyFont="1" applyFill="1" applyBorder="1" applyAlignment="1" applyProtection="1">
      <alignment horizontal="right"/>
      <protection locked="0"/>
    </xf>
    <xf numFmtId="0" fontId="19" fillId="7" borderId="3" xfId="0" applyFont="1" applyFill="1" applyBorder="1" applyAlignment="1" applyProtection="1">
      <alignment horizontal="left"/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6" fontId="3" fillId="2" borderId="2" xfId="0" applyNumberFormat="1" applyFont="1" applyFill="1" applyBorder="1" applyProtection="1">
      <protection locked="0"/>
    </xf>
    <xf numFmtId="0" fontId="16" fillId="2" borderId="4" xfId="0" applyFont="1" applyFill="1" applyBorder="1" applyProtection="1">
      <protection locked="0"/>
    </xf>
    <xf numFmtId="0" fontId="26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justify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7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center"/>
      <protection locked="0"/>
    </xf>
    <xf numFmtId="171" fontId="4" fillId="3" borderId="2" xfId="0" applyNumberFormat="1" applyFont="1" applyFill="1" applyBorder="1" applyProtection="1">
      <protection locked="0"/>
    </xf>
    <xf numFmtId="0" fontId="35" fillId="2" borderId="0" xfId="0" applyFont="1" applyFill="1" applyAlignment="1" applyProtection="1">
      <alignment vertical="top"/>
      <protection locked="0"/>
    </xf>
    <xf numFmtId="2" fontId="29" fillId="3" borderId="2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4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9" borderId="0" xfId="0" applyFont="1" applyFill="1" applyAlignment="1" applyProtection="1">
      <alignment horizontal="center"/>
      <protection locked="0"/>
    </xf>
    <xf numFmtId="0" fontId="14" fillId="2" borderId="0" xfId="0" applyFont="1" applyFill="1" applyProtection="1">
      <protection locked="0"/>
    </xf>
    <xf numFmtId="9" fontId="11" fillId="2" borderId="0" xfId="0" applyNumberFormat="1" applyFont="1" applyFill="1" applyProtection="1">
      <protection locked="0"/>
    </xf>
    <xf numFmtId="0" fontId="0" fillId="2" borderId="10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3" fontId="0" fillId="5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6" borderId="15" xfId="0" applyFill="1" applyBorder="1" applyAlignment="1" applyProtection="1">
      <alignment horizontal="center"/>
      <protection locked="0"/>
    </xf>
    <xf numFmtId="3" fontId="0" fillId="5" borderId="9" xfId="0" applyNumberFormat="1" applyFill="1" applyBorder="1" applyProtection="1">
      <protection locked="0"/>
    </xf>
    <xf numFmtId="171" fontId="0" fillId="3" borderId="2" xfId="0" applyNumberFormat="1" applyFill="1" applyBorder="1" applyProtection="1">
      <protection locked="0"/>
    </xf>
    <xf numFmtId="171" fontId="0" fillId="2" borderId="0" xfId="0" applyNumberFormat="1" applyFill="1" applyProtection="1">
      <protection locked="0"/>
    </xf>
    <xf numFmtId="171" fontId="4" fillId="2" borderId="0" xfId="0" applyNumberFormat="1" applyFont="1" applyFill="1" applyProtection="1">
      <protection locked="0"/>
    </xf>
    <xf numFmtId="0" fontId="56" fillId="2" borderId="0" xfId="0" applyFont="1" applyFill="1" applyProtection="1">
      <protection locked="0"/>
    </xf>
    <xf numFmtId="10" fontId="28" fillId="2" borderId="0" xfId="0" applyNumberFormat="1" applyFont="1" applyFill="1" applyAlignment="1" applyProtection="1">
      <alignment horizontal="center" vertical="top" wrapText="1"/>
      <protection locked="0"/>
    </xf>
    <xf numFmtId="166" fontId="4" fillId="5" borderId="2" xfId="0" applyNumberFormat="1" applyFont="1" applyFill="1" applyBorder="1" applyProtection="1">
      <protection locked="0"/>
    </xf>
    <xf numFmtId="0" fontId="25" fillId="2" borderId="0" xfId="0" applyFont="1" applyFill="1" applyAlignment="1" applyProtection="1">
      <alignment horizontal="center" vertical="center" wrapText="1"/>
      <protection locked="0"/>
    </xf>
    <xf numFmtId="0" fontId="25" fillId="2" borderId="0" xfId="0" applyFont="1" applyFill="1" applyProtection="1">
      <protection locked="0"/>
    </xf>
    <xf numFmtId="0" fontId="25" fillId="2" borderId="0" xfId="0" applyFont="1" applyFill="1" applyAlignment="1" applyProtection="1">
      <alignment wrapText="1"/>
      <protection locked="0"/>
    </xf>
    <xf numFmtId="0" fontId="25" fillId="2" borderId="7" xfId="0" applyFont="1" applyFill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25" fillId="2" borderId="7" xfId="0" applyFont="1" applyFill="1" applyBorder="1" applyProtection="1">
      <protection locked="0"/>
    </xf>
    <xf numFmtId="0" fontId="56" fillId="9" borderId="0" xfId="0" applyFont="1" applyFill="1" applyAlignment="1" applyProtection="1">
      <alignment horizontal="center"/>
      <protection locked="0"/>
    </xf>
    <xf numFmtId="0" fontId="56" fillId="2" borderId="0" xfId="0" applyFont="1" applyFill="1" applyAlignment="1" applyProtection="1">
      <alignment horizontal="center"/>
      <protection locked="0"/>
    </xf>
    <xf numFmtId="171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6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7" fontId="0" fillId="5" borderId="9" xfId="0" applyNumberFormat="1" applyFill="1" applyBorder="1" applyAlignment="1" applyProtection="1">
      <alignment horizontal="center"/>
      <protection locked="0"/>
    </xf>
    <xf numFmtId="167" fontId="0" fillId="5" borderId="2" xfId="0" applyNumberFormat="1" applyFill="1" applyBorder="1" applyAlignment="1" applyProtection="1">
      <alignment horizontal="center"/>
      <protection locked="0"/>
    </xf>
    <xf numFmtId="0" fontId="4" fillId="2" borderId="12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35" fillId="2" borderId="0" xfId="0" applyFon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71" fontId="0" fillId="5" borderId="17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170" fontId="0" fillId="5" borderId="9" xfId="0" applyNumberFormat="1" applyFill="1" applyBorder="1" applyAlignment="1" applyProtection="1">
      <alignment horizontal="center"/>
      <protection locked="0"/>
    </xf>
    <xf numFmtId="170" fontId="0" fillId="5" borderId="2" xfId="0" applyNumberForma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14" fillId="2" borderId="0" xfId="0" applyFont="1" applyFill="1" applyAlignment="1" applyProtection="1">
      <alignment horizontal="left"/>
      <protection locked="0"/>
    </xf>
    <xf numFmtId="49" fontId="4" fillId="2" borderId="0" xfId="0" applyNumberFormat="1" applyFont="1" applyFill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Protection="1">
      <protection locked="0"/>
    </xf>
    <xf numFmtId="0" fontId="25" fillId="2" borderId="4" xfId="0" applyFont="1" applyFill="1" applyBorder="1" applyProtection="1">
      <protection locked="0"/>
    </xf>
    <xf numFmtId="0" fontId="25" fillId="2" borderId="1" xfId="0" applyFont="1" applyFill="1" applyBorder="1" applyProtection="1">
      <protection locked="0"/>
    </xf>
    <xf numFmtId="0" fontId="35" fillId="2" borderId="1" xfId="0" applyFont="1" applyFill="1" applyBorder="1" applyProtection="1">
      <protection locked="0"/>
    </xf>
    <xf numFmtId="0" fontId="14" fillId="2" borderId="6" xfId="0" applyFont="1" applyFill="1" applyBorder="1" applyProtection="1">
      <protection locked="0"/>
    </xf>
    <xf numFmtId="0" fontId="57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45" fillId="2" borderId="0" xfId="0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0" fontId="25" fillId="2" borderId="6" xfId="0" applyFont="1" applyFill="1" applyBorder="1" applyAlignment="1" applyProtection="1">
      <alignment horizontal="center" vertical="center" wrapText="1"/>
      <protection locked="0"/>
    </xf>
    <xf numFmtId="171" fontId="25" fillId="2" borderId="0" xfId="0" applyNumberFormat="1" applyFont="1" applyFill="1" applyProtection="1">
      <protection locked="0"/>
    </xf>
    <xf numFmtId="49" fontId="14" fillId="2" borderId="0" xfId="0" applyNumberFormat="1" applyFont="1" applyFill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56" fillId="2" borderId="0" xfId="0" applyFont="1" applyFill="1" applyAlignment="1" applyProtection="1">
      <alignment horizontal="center" wrapText="1"/>
      <protection locked="0"/>
    </xf>
    <xf numFmtId="0" fontId="26" fillId="9" borderId="0" xfId="0" applyFont="1" applyFill="1" applyProtection="1">
      <protection locked="0"/>
    </xf>
    <xf numFmtId="173" fontId="5" fillId="2" borderId="2" xfId="0" applyNumberFormat="1" applyFont="1" applyFill="1" applyBorder="1" applyAlignment="1" applyProtection="1">
      <alignment horizontal="center"/>
      <protection locked="0"/>
    </xf>
    <xf numFmtId="173" fontId="5" fillId="3" borderId="12" xfId="0" applyNumberFormat="1" applyFont="1" applyFill="1" applyBorder="1" applyAlignment="1" applyProtection="1">
      <alignment horizontal="center"/>
      <protection locked="0"/>
    </xf>
    <xf numFmtId="173" fontId="5" fillId="3" borderId="2" xfId="0" applyNumberFormat="1" applyFont="1" applyFill="1" applyBorder="1" applyAlignment="1" applyProtection="1">
      <alignment horizontal="center"/>
      <protection locked="0"/>
    </xf>
    <xf numFmtId="173" fontId="5" fillId="3" borderId="9" xfId="0" applyNumberFormat="1" applyFont="1" applyFill="1" applyBorder="1" applyAlignment="1" applyProtection="1">
      <alignment horizontal="center"/>
      <protection locked="0"/>
    </xf>
    <xf numFmtId="4" fontId="25" fillId="2" borderId="0" xfId="0" applyNumberFormat="1" applyFont="1" applyFill="1" applyProtection="1">
      <protection locked="0"/>
    </xf>
    <xf numFmtId="4" fontId="4" fillId="5" borderId="2" xfId="0" applyNumberFormat="1" applyFont="1" applyFill="1" applyBorder="1" applyAlignment="1" applyProtection="1">
      <alignment horizontal="center"/>
      <protection locked="0"/>
    </xf>
    <xf numFmtId="166" fontId="25" fillId="2" borderId="0" xfId="0" applyNumberFormat="1" applyFont="1" applyFill="1" applyAlignment="1" applyProtection="1">
      <alignment horizontal="center"/>
      <protection locked="0"/>
    </xf>
    <xf numFmtId="0" fontId="47" fillId="2" borderId="6" xfId="0" applyFont="1" applyFill="1" applyBorder="1" applyProtection="1">
      <protection locked="0"/>
    </xf>
    <xf numFmtId="0" fontId="47" fillId="2" borderId="1" xfId="0" applyFont="1" applyFill="1" applyBorder="1" applyProtection="1">
      <protection locked="0"/>
    </xf>
    <xf numFmtId="0" fontId="47" fillId="2" borderId="0" xfId="0" applyFont="1" applyFill="1" applyProtection="1">
      <protection locked="0"/>
    </xf>
    <xf numFmtId="0" fontId="47" fillId="2" borderId="0" xfId="0" applyFont="1" applyFill="1" applyAlignment="1" applyProtection="1">
      <alignment horizontal="center"/>
      <protection locked="0"/>
    </xf>
    <xf numFmtId="166" fontId="48" fillId="2" borderId="0" xfId="0" applyNumberFormat="1" applyFont="1" applyFill="1" applyAlignment="1" applyProtection="1">
      <alignment horizontal="center"/>
      <protection locked="0"/>
    </xf>
    <xf numFmtId="0" fontId="48" fillId="2" borderId="0" xfId="0" applyFont="1" applyFill="1" applyProtection="1">
      <protection locked="0"/>
    </xf>
    <xf numFmtId="0" fontId="47" fillId="2" borderId="1" xfId="0" applyFont="1" applyFill="1" applyBorder="1" applyAlignment="1" applyProtection="1">
      <alignment horizontal="center"/>
      <protection locked="0"/>
    </xf>
    <xf numFmtId="166" fontId="4" fillId="5" borderId="2" xfId="0" applyNumberFormat="1" applyFont="1" applyFill="1" applyBorder="1" applyAlignment="1" applyProtection="1">
      <alignment horizontal="center"/>
      <protection locked="0"/>
    </xf>
    <xf numFmtId="171" fontId="4" fillId="5" borderId="2" xfId="0" applyNumberFormat="1" applyFont="1" applyFill="1" applyBorder="1" applyAlignment="1" applyProtection="1">
      <alignment horizontal="center"/>
      <protection locked="0"/>
    </xf>
    <xf numFmtId="0" fontId="25" fillId="2" borderId="15" xfId="0" applyFont="1" applyFill="1" applyBorder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23" fillId="2" borderId="0" xfId="0" applyFont="1" applyFill="1" applyProtection="1">
      <protection locked="0"/>
    </xf>
    <xf numFmtId="3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171" fontId="4" fillId="5" borderId="2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0" fontId="3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3" fontId="18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9" fillId="2" borderId="1" xfId="0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40" fillId="2" borderId="0" xfId="0" applyFont="1" applyFill="1" applyProtection="1"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10" fontId="41" fillId="3" borderId="11" xfId="2" applyNumberFormat="1" applyFont="1" applyFill="1" applyBorder="1" applyAlignment="1" applyProtection="1">
      <alignment horizontal="center"/>
      <protection locked="0"/>
    </xf>
    <xf numFmtId="10" fontId="0" fillId="2" borderId="0" xfId="0" applyNumberFormat="1" applyFill="1" applyProtection="1"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0" fontId="41" fillId="3" borderId="9" xfId="2" applyNumberFormat="1" applyFont="1" applyFill="1" applyBorder="1" applyAlignment="1" applyProtection="1">
      <alignment horizontal="center"/>
      <protection locked="0"/>
    </xf>
    <xf numFmtId="10" fontId="0" fillId="2" borderId="1" xfId="0" applyNumberForma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11" fillId="2" borderId="3" xfId="0" applyFont="1" applyFill="1" applyBorder="1" applyProtection="1">
      <protection locked="0"/>
    </xf>
    <xf numFmtId="3" fontId="4" fillId="2" borderId="0" xfId="0" applyNumberFormat="1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58" fillId="2" borderId="0" xfId="0" applyFont="1" applyFill="1" applyProtection="1">
      <protection locked="0"/>
    </xf>
    <xf numFmtId="0" fontId="53" fillId="2" borderId="0" xfId="0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9" fillId="2" borderId="0" xfId="0" applyFont="1" applyFill="1" applyAlignment="1" applyProtection="1">
      <alignment horizontal="center"/>
      <protection locked="0"/>
    </xf>
    <xf numFmtId="0" fontId="59" fillId="2" borderId="0" xfId="0" applyFont="1" applyFill="1" applyAlignment="1" applyProtection="1">
      <alignment horizontal="left"/>
      <protection locked="0"/>
    </xf>
    <xf numFmtId="0" fontId="59" fillId="0" borderId="0" xfId="0" applyFont="1" applyProtection="1">
      <protection locked="0"/>
    </xf>
    <xf numFmtId="0" fontId="4" fillId="4" borderId="10" xfId="0" applyFont="1" applyFill="1" applyBorder="1" applyAlignment="1" applyProtection="1">
      <alignment horizontal="center" wrapText="1"/>
      <protection locked="0"/>
    </xf>
    <xf numFmtId="171" fontId="59" fillId="11" borderId="12" xfId="0" applyNumberFormat="1" applyFont="1" applyFill="1" applyBorder="1" applyAlignment="1" applyProtection="1">
      <alignment vertical="center"/>
      <protection locked="0"/>
    </xf>
    <xf numFmtId="171" fontId="59" fillId="11" borderId="6" xfId="0" applyNumberFormat="1" applyFont="1" applyFill="1" applyBorder="1" applyAlignment="1" applyProtection="1">
      <alignment vertical="center"/>
      <protection locked="0"/>
    </xf>
    <xf numFmtId="0" fontId="14" fillId="2" borderId="4" xfId="0" applyFont="1" applyFill="1" applyBorder="1" applyAlignment="1" applyProtection="1">
      <alignment horizontal="left"/>
      <protection locked="0"/>
    </xf>
    <xf numFmtId="171" fontId="59" fillId="11" borderId="0" xfId="0" applyNumberFormat="1" applyFont="1" applyFill="1" applyAlignment="1" applyProtection="1">
      <alignment vertical="center"/>
      <protection locked="0"/>
    </xf>
    <xf numFmtId="171" fontId="59" fillId="11" borderId="1" xfId="0" applyNumberFormat="1" applyFont="1" applyFill="1" applyBorder="1" applyAlignment="1" applyProtection="1">
      <alignment vertical="center"/>
      <protection locked="0"/>
    </xf>
    <xf numFmtId="3" fontId="58" fillId="2" borderId="1" xfId="0" applyNumberFormat="1" applyFont="1" applyFill="1" applyBorder="1" applyAlignment="1" applyProtection="1">
      <alignment horizontal="right"/>
      <protection locked="0"/>
    </xf>
    <xf numFmtId="0" fontId="59" fillId="9" borderId="4" xfId="0" applyFont="1" applyFill="1" applyBorder="1" applyAlignment="1" applyProtection="1">
      <alignment horizontal="center"/>
      <protection locked="0"/>
    </xf>
    <xf numFmtId="171" fontId="59" fillId="11" borderId="8" xfId="0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center"/>
    </xf>
    <xf numFmtId="0" fontId="0" fillId="0" borderId="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9" xfId="0" applyBorder="1" applyProtection="1"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60" fillId="2" borderId="4" xfId="0" applyFont="1" applyFill="1" applyBorder="1" applyAlignment="1" applyProtection="1">
      <alignment vertical="center"/>
      <protection locked="0"/>
    </xf>
    <xf numFmtId="0" fontId="59" fillId="9" borderId="5" xfId="0" applyFont="1" applyFill="1" applyBorder="1" applyAlignment="1" applyProtection="1">
      <alignment horizontal="center"/>
      <protection locked="0"/>
    </xf>
    <xf numFmtId="0" fontId="59" fillId="9" borderId="7" xfId="0" applyFont="1" applyFill="1" applyBorder="1" applyAlignment="1" applyProtection="1">
      <alignment horizontal="center"/>
      <protection locked="0"/>
    </xf>
    <xf numFmtId="171" fontId="59" fillId="11" borderId="7" xfId="0" applyNumberFormat="1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8" fillId="2" borderId="6" xfId="0" applyFont="1" applyFill="1" applyBorder="1" applyProtection="1">
      <protection locked="0"/>
    </xf>
    <xf numFmtId="10" fontId="0" fillId="0" borderId="0" xfId="0" applyNumberFormat="1" applyProtection="1">
      <protection locked="0"/>
    </xf>
    <xf numFmtId="0" fontId="58" fillId="2" borderId="0" xfId="0" applyFont="1" applyFill="1" applyAlignment="1" applyProtection="1">
      <alignment wrapText="1"/>
      <protection locked="0"/>
    </xf>
    <xf numFmtId="0" fontId="61" fillId="2" borderId="0" xfId="0" applyFont="1" applyFill="1" applyProtection="1">
      <protection locked="0"/>
    </xf>
    <xf numFmtId="0" fontId="0" fillId="6" borderId="0" xfId="0" applyFill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9" borderId="3" xfId="0" applyFill="1" applyBorder="1" applyProtection="1">
      <protection locked="0"/>
    </xf>
    <xf numFmtId="0" fontId="0" fillId="9" borderId="6" xfId="0" applyFill="1" applyBorder="1" applyProtection="1">
      <protection locked="0"/>
    </xf>
    <xf numFmtId="0" fontId="0" fillId="9" borderId="3" xfId="0" applyFill="1" applyBorder="1" applyAlignment="1" applyProtection="1">
      <alignment horizontal="center"/>
      <protection locked="0"/>
    </xf>
    <xf numFmtId="0" fontId="0" fillId="9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71" fontId="59" fillId="2" borderId="0" xfId="0" applyNumberFormat="1" applyFont="1" applyFill="1" applyProtection="1">
      <protection locked="0"/>
    </xf>
    <xf numFmtId="0" fontId="61" fillId="2" borderId="0" xfId="0" applyFont="1" applyFill="1" applyAlignment="1" applyProtection="1">
      <alignment horizontal="left"/>
      <protection locked="0"/>
    </xf>
    <xf numFmtId="0" fontId="58" fillId="2" borderId="4" xfId="0" applyFont="1" applyFill="1" applyBorder="1" applyProtection="1">
      <protection locked="0"/>
    </xf>
    <xf numFmtId="0" fontId="62" fillId="2" borderId="4" xfId="0" applyFont="1" applyFill="1" applyBorder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171" fontId="4" fillId="3" borderId="2" xfId="0" applyNumberFormat="1" applyFont="1" applyFill="1" applyBorder="1" applyAlignment="1" applyProtection="1">
      <alignment vertical="center"/>
      <protection locked="0"/>
    </xf>
    <xf numFmtId="0" fontId="58" fillId="2" borderId="0" xfId="0" applyFont="1" applyFill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4" borderId="20" xfId="0" applyFont="1" applyFill="1" applyBorder="1" applyAlignment="1" applyProtection="1">
      <alignment horizontal="center" wrapText="1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Alignment="1" applyProtection="1">
      <alignment vertical="center" wrapText="1" readingOrder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166" fontId="3" fillId="0" borderId="2" xfId="0" applyNumberFormat="1" applyFont="1" applyBorder="1" applyAlignment="1" applyProtection="1">
      <alignment vertical="center"/>
      <protection locked="0"/>
    </xf>
    <xf numFmtId="171" fontId="3" fillId="2" borderId="7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71" fontId="3" fillId="5" borderId="2" xfId="0" applyNumberFormat="1" applyFont="1" applyFill="1" applyBorder="1" applyProtection="1">
      <protection locked="0"/>
    </xf>
    <xf numFmtId="171" fontId="3" fillId="3" borderId="2" xfId="0" applyNumberFormat="1" applyFont="1" applyFill="1" applyBorder="1" applyAlignment="1" applyProtection="1">
      <alignment vertical="center"/>
      <protection locked="0"/>
    </xf>
    <xf numFmtId="171" fontId="3" fillId="2" borderId="0" xfId="0" applyNumberFormat="1" applyFont="1" applyFill="1" applyProtection="1">
      <protection locked="0"/>
    </xf>
    <xf numFmtId="3" fontId="3" fillId="2" borderId="0" xfId="0" applyNumberFormat="1" applyFont="1" applyFill="1" applyProtection="1">
      <protection locked="0"/>
    </xf>
    <xf numFmtId="0" fontId="3" fillId="2" borderId="13" xfId="0" applyFont="1" applyFill="1" applyBorder="1" applyProtection="1">
      <protection locked="0"/>
    </xf>
    <xf numFmtId="0" fontId="3" fillId="7" borderId="4" xfId="0" applyFont="1" applyFill="1" applyBorder="1" applyProtection="1">
      <protection locked="0"/>
    </xf>
    <xf numFmtId="0" fontId="3" fillId="7" borderId="5" xfId="0" applyFont="1" applyFill="1" applyBorder="1" applyProtection="1">
      <protection locked="0"/>
    </xf>
    <xf numFmtId="0" fontId="3" fillId="7" borderId="6" xfId="0" applyFont="1" applyFill="1" applyBorder="1" applyAlignment="1" applyProtection="1">
      <alignment horizontal="center" wrapText="1"/>
      <protection locked="0"/>
    </xf>
    <xf numFmtId="0" fontId="3" fillId="7" borderId="0" xfId="0" applyFont="1" applyFill="1" applyAlignment="1" applyProtection="1">
      <alignment horizontal="center" wrapText="1"/>
      <protection locked="0"/>
    </xf>
    <xf numFmtId="0" fontId="3" fillId="7" borderId="7" xfId="0" applyFont="1" applyFill="1" applyBorder="1" applyAlignment="1" applyProtection="1">
      <alignment horizontal="center" wrapText="1"/>
      <protection locked="0"/>
    </xf>
    <xf numFmtId="0" fontId="3" fillId="7" borderId="12" xfId="0" applyFont="1" applyFill="1" applyBorder="1" applyAlignment="1" applyProtection="1">
      <alignment horizontal="center" wrapText="1"/>
      <protection locked="0"/>
    </xf>
    <xf numFmtId="0" fontId="3" fillId="7" borderId="1" xfId="0" applyFont="1" applyFill="1" applyBorder="1" applyAlignment="1" applyProtection="1">
      <alignment horizontal="center" wrapText="1"/>
      <protection locked="0"/>
    </xf>
    <xf numFmtId="0" fontId="3" fillId="7" borderId="15" xfId="0" applyFont="1" applyFill="1" applyBorder="1" applyAlignment="1" applyProtection="1">
      <alignment horizontal="center" wrapText="1"/>
      <protection locked="0"/>
    </xf>
    <xf numFmtId="171" fontId="3" fillId="3" borderId="2" xfId="0" applyNumberFormat="1" applyFont="1" applyFill="1" applyBorder="1" applyProtection="1">
      <protection locked="0"/>
    </xf>
    <xf numFmtId="171" fontId="3" fillId="2" borderId="6" xfId="0" applyNumberFormat="1" applyFont="1" applyFill="1" applyBorder="1" applyProtection="1">
      <protection locked="0"/>
    </xf>
    <xf numFmtId="3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171" fontId="3" fillId="0" borderId="2" xfId="0" applyNumberFormat="1" applyFont="1" applyBorder="1" applyProtection="1">
      <protection locked="0"/>
    </xf>
    <xf numFmtId="2" fontId="3" fillId="0" borderId="2" xfId="0" applyNumberFormat="1" applyFont="1" applyBorder="1" applyProtection="1">
      <protection locked="0"/>
    </xf>
    <xf numFmtId="3" fontId="3" fillId="0" borderId="0" xfId="0" applyNumberFormat="1" applyFont="1" applyProtection="1">
      <protection locked="0"/>
    </xf>
    <xf numFmtId="169" fontId="3" fillId="0" borderId="2" xfId="0" applyNumberFormat="1" applyFont="1" applyBorder="1" applyProtection="1">
      <protection locked="0"/>
    </xf>
    <xf numFmtId="172" fontId="3" fillId="0" borderId="0" xfId="0" applyNumberFormat="1" applyFont="1" applyProtection="1">
      <protection locked="0"/>
    </xf>
    <xf numFmtId="169" fontId="3" fillId="3" borderId="2" xfId="0" applyNumberFormat="1" applyFont="1" applyFill="1" applyBorder="1" applyProtection="1"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7" borderId="0" xfId="0" applyFont="1" applyFill="1" applyProtection="1">
      <protection locked="0"/>
    </xf>
    <xf numFmtId="2" fontId="3" fillId="2" borderId="0" xfId="0" applyNumberFormat="1" applyFont="1" applyFill="1" applyAlignment="1" applyProtection="1">
      <alignment horizontal="right"/>
      <protection locked="0"/>
    </xf>
    <xf numFmtId="2" fontId="3" fillId="2" borderId="0" xfId="0" applyNumberFormat="1" applyFont="1" applyFill="1" applyProtection="1">
      <protection locked="0"/>
    </xf>
    <xf numFmtId="0" fontId="25" fillId="2" borderId="2" xfId="0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Protection="1">
      <protection locked="0"/>
    </xf>
    <xf numFmtId="169" fontId="3" fillId="2" borderId="0" xfId="0" applyNumberFormat="1" applyFont="1" applyFill="1" applyProtection="1">
      <protection locked="0"/>
    </xf>
    <xf numFmtId="4" fontId="3" fillId="2" borderId="0" xfId="0" applyNumberFormat="1" applyFont="1" applyFill="1" applyProtection="1">
      <protection locked="0"/>
    </xf>
    <xf numFmtId="4" fontId="3" fillId="3" borderId="2" xfId="0" applyNumberFormat="1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4" fontId="3" fillId="0" borderId="2" xfId="0" applyNumberFormat="1" applyFont="1" applyBorder="1" applyProtection="1">
      <protection locked="0"/>
    </xf>
    <xf numFmtId="171" fontId="3" fillId="3" borderId="2" xfId="0" applyNumberFormat="1" applyFont="1" applyFill="1" applyBorder="1" applyAlignment="1" applyProtection="1">
      <alignment horizontal="right"/>
      <protection locked="0"/>
    </xf>
    <xf numFmtId="4" fontId="3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wrapText="1"/>
      <protection locked="0"/>
    </xf>
    <xf numFmtId="4" fontId="3" fillId="2" borderId="0" xfId="0" applyNumberFormat="1" applyFont="1" applyFill="1" applyAlignment="1" applyProtection="1">
      <alignment horizontal="center" wrapText="1"/>
      <protection locked="0"/>
    </xf>
    <xf numFmtId="4" fontId="3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171" fontId="3" fillId="2" borderId="0" xfId="0" applyNumberFormat="1" applyFont="1" applyFill="1" applyAlignment="1" applyProtection="1">
      <alignment vertical="center"/>
      <protection locked="0"/>
    </xf>
    <xf numFmtId="166" fontId="3" fillId="5" borderId="2" xfId="0" applyNumberFormat="1" applyFont="1" applyFill="1" applyBorder="1" applyProtection="1">
      <protection locked="0"/>
    </xf>
    <xf numFmtId="9" fontId="3" fillId="2" borderId="0" xfId="5" applyFont="1" applyFill="1" applyBorder="1" applyProtection="1">
      <protection locked="0"/>
    </xf>
    <xf numFmtId="0" fontId="3" fillId="9" borderId="5" xfId="0" applyFont="1" applyFill="1" applyBorder="1" applyAlignment="1" applyProtection="1">
      <alignment horizontal="center"/>
      <protection locked="0"/>
    </xf>
    <xf numFmtId="0" fontId="3" fillId="9" borderId="12" xfId="0" applyFont="1" applyFill="1" applyBorder="1" applyProtection="1">
      <protection locked="0"/>
    </xf>
    <xf numFmtId="171" fontId="3" fillId="0" borderId="2" xfId="0" applyNumberFormat="1" applyFont="1" applyBorder="1" applyAlignment="1" applyProtection="1">
      <alignment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165" fontId="3" fillId="2" borderId="2" xfId="0" applyNumberFormat="1" applyFont="1" applyFill="1" applyBorder="1" applyAlignment="1" applyProtection="1">
      <alignment horizontal="center" vertical="top" wrapText="1"/>
      <protection locked="0"/>
    </xf>
    <xf numFmtId="171" fontId="3" fillId="0" borderId="17" xfId="0" applyNumberFormat="1" applyFont="1" applyBorder="1" applyAlignment="1" applyProtection="1">
      <alignment horizontal="center"/>
      <protection locked="0"/>
    </xf>
    <xf numFmtId="2" fontId="3" fillId="0" borderId="2" xfId="0" applyNumberFormat="1" applyFont="1" applyBorder="1" applyAlignment="1" applyProtection="1">
      <alignment horizontal="center"/>
      <protection locked="0"/>
    </xf>
    <xf numFmtId="166" fontId="3" fillId="3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166" fontId="3" fillId="0" borderId="2" xfId="0" applyNumberFormat="1" applyFont="1" applyBorder="1" applyAlignment="1" applyProtection="1">
      <alignment horizontal="center"/>
      <protection locked="0"/>
    </xf>
    <xf numFmtId="10" fontId="3" fillId="2" borderId="2" xfId="0" applyNumberFormat="1" applyFont="1" applyFill="1" applyBorder="1" applyAlignment="1" applyProtection="1">
      <alignment horizontal="center" vertical="top" wrapText="1"/>
      <protection locked="0"/>
    </xf>
    <xf numFmtId="171" fontId="3" fillId="3" borderId="9" xfId="0" applyNumberFormat="1" applyFont="1" applyFill="1" applyBorder="1" applyAlignment="1" applyProtection="1">
      <alignment horizontal="center"/>
      <protection locked="0"/>
    </xf>
    <xf numFmtId="171" fontId="3" fillId="2" borderId="2" xfId="0" applyNumberFormat="1" applyFont="1" applyFill="1" applyBorder="1" applyProtection="1">
      <protection locked="0"/>
    </xf>
    <xf numFmtId="171" fontId="3" fillId="3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horizontal="left"/>
      <protection locked="0"/>
    </xf>
    <xf numFmtId="171" fontId="3" fillId="0" borderId="17" xfId="0" applyNumberFormat="1" applyFont="1" applyBorder="1" applyAlignment="1" applyProtection="1">
      <alignment horizontal="left"/>
      <protection locked="0"/>
    </xf>
    <xf numFmtId="165" fontId="3" fillId="3" borderId="2" xfId="5" applyNumberFormat="1" applyFont="1" applyFill="1" applyBorder="1" applyAlignment="1" applyProtection="1">
      <alignment horizontal="right"/>
      <protection locked="0"/>
    </xf>
    <xf numFmtId="9" fontId="3" fillId="3" borderId="2" xfId="5" applyFont="1" applyFill="1" applyBorder="1" applyAlignment="1" applyProtection="1">
      <alignment horizontal="right"/>
      <protection locked="0"/>
    </xf>
    <xf numFmtId="171" fontId="3" fillId="5" borderId="15" xfId="0" applyNumberFormat="1" applyFont="1" applyFill="1" applyBorder="1" applyProtection="1">
      <protection locked="0"/>
    </xf>
    <xf numFmtId="167" fontId="3" fillId="5" borderId="9" xfId="0" applyNumberFormat="1" applyFont="1" applyFill="1" applyBorder="1" applyAlignment="1" applyProtection="1">
      <alignment horizontal="center"/>
      <protection locked="0"/>
    </xf>
    <xf numFmtId="167" fontId="3" fillId="5" borderId="2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171" fontId="3" fillId="7" borderId="2" xfId="0" applyNumberFormat="1" applyFont="1" applyFill="1" applyBorder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8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171" fontId="3" fillId="0" borderId="2" xfId="0" applyNumberFormat="1" applyFont="1" applyBorder="1" applyAlignment="1" applyProtection="1">
      <alignment horizontal="center"/>
      <protection locked="0"/>
    </xf>
    <xf numFmtId="171" fontId="3" fillId="0" borderId="2" xfId="0" applyNumberFormat="1" applyFont="1" applyBorder="1" applyAlignment="1" applyProtection="1">
      <alignment horizontal="center" wrapText="1"/>
      <protection locked="0"/>
    </xf>
    <xf numFmtId="169" fontId="3" fillId="0" borderId="2" xfId="0" applyNumberFormat="1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  <protection locked="0"/>
    </xf>
    <xf numFmtId="168" fontId="3" fillId="2" borderId="0" xfId="0" applyNumberFormat="1" applyFont="1" applyFill="1" applyProtection="1">
      <protection locked="0"/>
    </xf>
    <xf numFmtId="0" fontId="3" fillId="2" borderId="2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73" fontId="3" fillId="2" borderId="2" xfId="0" applyNumberFormat="1" applyFont="1" applyFill="1" applyBorder="1" applyAlignment="1" applyProtection="1">
      <alignment horizontal="center"/>
      <protection locked="0"/>
    </xf>
    <xf numFmtId="166" fontId="3" fillId="3" borderId="1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73" fontId="3" fillId="2" borderId="8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left" wrapText="1"/>
      <protection locked="0"/>
    </xf>
    <xf numFmtId="4" fontId="3" fillId="3" borderId="2" xfId="7" applyNumberFormat="1" applyFont="1" applyFill="1" applyBorder="1" applyAlignment="1" applyProtection="1">
      <alignment horizontal="center"/>
      <protection locked="0"/>
    </xf>
    <xf numFmtId="4" fontId="3" fillId="3" borderId="2" xfId="0" applyNumberFormat="1" applyFont="1" applyFill="1" applyBorder="1" applyAlignment="1" applyProtection="1">
      <alignment horizontal="center"/>
      <protection locked="0"/>
    </xf>
    <xf numFmtId="0" fontId="3" fillId="9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171" fontId="3" fillId="2" borderId="4" xfId="0" applyNumberFormat="1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Alignment="1" applyProtection="1">
      <alignment horizontal="right"/>
      <protection locked="0"/>
    </xf>
    <xf numFmtId="171" fontId="3" fillId="3" borderId="2" xfId="0" quotePrefix="1" applyNumberFormat="1" applyFont="1" applyFill="1" applyBorder="1" applyAlignment="1">
      <alignment vertical="center"/>
    </xf>
    <xf numFmtId="171" fontId="3" fillId="3" borderId="2" xfId="0" quotePrefix="1" applyNumberFormat="1" applyFont="1" applyFill="1" applyBorder="1" applyAlignment="1" applyProtection="1">
      <alignment vertical="center"/>
      <protection locked="0"/>
    </xf>
    <xf numFmtId="171" fontId="3" fillId="0" borderId="8" xfId="0" applyNumberFormat="1" applyFont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171" fontId="3" fillId="0" borderId="9" xfId="0" applyNumberFormat="1" applyFont="1" applyBorder="1" applyAlignment="1" applyProtection="1">
      <alignment vertical="center"/>
      <protection locked="0"/>
    </xf>
    <xf numFmtId="0" fontId="3" fillId="4" borderId="18" xfId="0" applyFont="1" applyFill="1" applyBorder="1" applyAlignment="1" applyProtection="1">
      <alignment horizontal="center" wrapText="1"/>
      <protection locked="0"/>
    </xf>
    <xf numFmtId="171" fontId="3" fillId="3" borderId="19" xfId="0" quotePrefix="1" applyNumberFormat="1" applyFont="1" applyFill="1" applyBorder="1" applyAlignment="1" applyProtection="1">
      <alignment vertical="center"/>
      <protection locked="0"/>
    </xf>
    <xf numFmtId="0" fontId="3" fillId="2" borderId="0" xfId="0" quotePrefix="1" applyFont="1" applyFill="1" applyAlignment="1" applyProtection="1">
      <alignment vertical="center" wrapText="1"/>
      <protection locked="0"/>
    </xf>
    <xf numFmtId="171" fontId="3" fillId="3" borderId="21" xfId="0" quotePrefix="1" applyNumberFormat="1" applyFont="1" applyFill="1" applyBorder="1" applyAlignment="1" applyProtection="1">
      <alignment vertical="center"/>
      <protection locked="0"/>
    </xf>
    <xf numFmtId="171" fontId="3" fillId="3" borderId="2" xfId="0" applyNumberFormat="1" applyFont="1" applyFill="1" applyBorder="1" applyAlignment="1">
      <alignment vertical="center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1" fontId="3" fillId="2" borderId="1" xfId="0" applyNumberFormat="1" applyFont="1" applyFill="1" applyBorder="1" applyAlignment="1" applyProtection="1">
      <alignment vertical="center"/>
      <protection locked="0"/>
    </xf>
    <xf numFmtId="171" fontId="3" fillId="2" borderId="15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3" applyFont="1" applyProtection="1"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70" fontId="3" fillId="0" borderId="0" xfId="0" applyNumberFormat="1" applyFont="1" applyAlignment="1" applyProtection="1">
      <alignment horizontal="center"/>
      <protection locked="0"/>
    </xf>
    <xf numFmtId="3" fontId="3" fillId="2" borderId="4" xfId="0" applyNumberFormat="1" applyFont="1" applyFill="1" applyBorder="1" applyAlignment="1" applyProtection="1">
      <alignment horizontal="right"/>
      <protection locked="0"/>
    </xf>
    <xf numFmtId="171" fontId="3" fillId="2" borderId="5" xfId="0" applyNumberFormat="1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3" fontId="3" fillId="2" borderId="0" xfId="0" applyNumberFormat="1" applyFont="1" applyFill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2" borderId="0" xfId="0" applyNumberFormat="1" applyFont="1" applyFill="1" applyAlignment="1" applyProtection="1">
      <alignment vertical="center"/>
      <protection locked="0"/>
    </xf>
    <xf numFmtId="0" fontId="3" fillId="9" borderId="0" xfId="0" applyFont="1" applyFill="1" applyAlignment="1" applyProtection="1">
      <alignment vertical="center" wrapText="1"/>
      <protection locked="0"/>
    </xf>
    <xf numFmtId="166" fontId="3" fillId="7" borderId="2" xfId="0" applyNumberFormat="1" applyFont="1" applyFill="1" applyBorder="1" applyAlignment="1" applyProtection="1">
      <alignment vertical="center"/>
      <protection locked="0"/>
    </xf>
    <xf numFmtId="166" fontId="3" fillId="3" borderId="2" xfId="0" quotePrefix="1" applyNumberFormat="1" applyFont="1" applyFill="1" applyBorder="1" applyAlignment="1" applyProtection="1">
      <alignment vertical="center"/>
      <protection locked="0"/>
    </xf>
    <xf numFmtId="10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171" fontId="3" fillId="8" borderId="2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Protection="1">
      <protection locked="0"/>
    </xf>
    <xf numFmtId="2" fontId="3" fillId="3" borderId="2" xfId="0" applyNumberFormat="1" applyFont="1" applyFill="1" applyBorder="1" applyProtection="1">
      <protection locked="0"/>
    </xf>
    <xf numFmtId="171" fontId="3" fillId="8" borderId="17" xfId="0" applyNumberFormat="1" applyFont="1" applyFill="1" applyBorder="1" applyProtection="1">
      <protection locked="0"/>
    </xf>
    <xf numFmtId="3" fontId="3" fillId="2" borderId="2" xfId="0" applyNumberFormat="1" applyFont="1" applyFill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10" borderId="11" xfId="0" applyFont="1" applyFill="1" applyBorder="1" applyAlignment="1" applyProtection="1">
      <alignment horizontal="center"/>
      <protection locked="0"/>
    </xf>
    <xf numFmtId="0" fontId="3" fillId="10" borderId="8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center"/>
      <protection locked="0"/>
    </xf>
    <xf numFmtId="0" fontId="3" fillId="10" borderId="9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3" fillId="7" borderId="6" xfId="0" applyFont="1" applyFill="1" applyBorder="1" applyAlignment="1" applyProtection="1">
      <alignment horizontal="center" wrapText="1"/>
      <protection locked="0"/>
    </xf>
    <xf numFmtId="0" fontId="3" fillId="7" borderId="0" xfId="0" applyFont="1" applyFill="1" applyAlignment="1" applyProtection="1">
      <alignment horizontal="center" wrapText="1"/>
      <protection locked="0"/>
    </xf>
    <xf numFmtId="0" fontId="3" fillId="7" borderId="7" xfId="0" applyFont="1" applyFill="1" applyBorder="1" applyAlignment="1" applyProtection="1">
      <alignment horizontal="center" wrapText="1"/>
      <protection locked="0"/>
    </xf>
    <xf numFmtId="3" fontId="10" fillId="4" borderId="12" xfId="0" applyNumberFormat="1" applyFont="1" applyFill="1" applyBorder="1" applyAlignment="1" applyProtection="1">
      <alignment horizontal="left"/>
      <protection locked="0"/>
    </xf>
    <xf numFmtId="3" fontId="10" fillId="4" borderId="1" xfId="0" applyNumberFormat="1" applyFont="1" applyFill="1" applyBorder="1" applyAlignment="1" applyProtection="1">
      <alignment horizontal="left"/>
      <protection locked="0"/>
    </xf>
    <xf numFmtId="3" fontId="10" fillId="4" borderId="15" xfId="0" applyNumberFormat="1" applyFont="1" applyFill="1" applyBorder="1" applyAlignment="1" applyProtection="1">
      <alignment horizontal="left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3" fontId="3" fillId="4" borderId="4" xfId="0" applyNumberFormat="1" applyFont="1" applyFill="1" applyBorder="1" applyAlignment="1" applyProtection="1">
      <alignment horizontal="center"/>
      <protection locked="0"/>
    </xf>
    <xf numFmtId="3" fontId="3" fillId="4" borderId="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 applyProtection="1">
      <alignment horizontal="center"/>
      <protection locked="0"/>
    </xf>
    <xf numFmtId="0" fontId="9" fillId="4" borderId="5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171" fontId="3" fillId="3" borderId="2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58" fillId="2" borderId="0" xfId="0" applyFont="1" applyFill="1" applyAlignment="1" applyProtection="1">
      <alignment horizontal="left" wrapText="1"/>
      <protection locked="0"/>
    </xf>
    <xf numFmtId="0" fontId="58" fillId="0" borderId="0" xfId="0" applyFont="1" applyAlignment="1">
      <alignment horizontal="left" wrapText="1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4" fillId="4" borderId="10" xfId="0" applyFont="1" applyFill="1" applyBorder="1" applyAlignment="1" applyProtection="1">
      <alignment horizontal="center"/>
      <protection locked="0"/>
    </xf>
    <xf numFmtId="0" fontId="4" fillId="4" borderId="16" xfId="0" applyFont="1" applyFill="1" applyBorder="1" applyAlignment="1" applyProtection="1">
      <alignment horizontal="center"/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vertical="center"/>
      <protection locked="0"/>
    </xf>
    <xf numFmtId="0" fontId="3" fillId="0" borderId="11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4" fillId="4" borderId="2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wrapText="1"/>
      <protection locked="0"/>
    </xf>
    <xf numFmtId="164" fontId="4" fillId="2" borderId="0" xfId="9" applyFont="1" applyFill="1" applyBorder="1" applyAlignment="1" applyProtection="1">
      <alignment horizontal="left" wrapText="1"/>
      <protection locked="0"/>
    </xf>
    <xf numFmtId="0" fontId="8" fillId="10" borderId="10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/>
    </xf>
    <xf numFmtId="9" fontId="3" fillId="2" borderId="0" xfId="5" applyNumberFormat="1" applyFont="1" applyFill="1" applyBorder="1" applyProtection="1">
      <protection locked="0"/>
    </xf>
  </cellXfs>
  <cellStyles count="19">
    <cellStyle name="Hyperkobling 2" xfId="15" xr:uid="{00000000-0005-0000-0000-000000000000}"/>
    <cellStyle name="Normal" xfId="0" builtinId="0"/>
    <cellStyle name="Normal 2" xfId="1" xr:uid="{00000000-0005-0000-0000-000002000000}"/>
    <cellStyle name="Normal 3" xfId="13" xr:uid="{00000000-0005-0000-0000-000003000000}"/>
    <cellStyle name="Normal 4" xfId="16" xr:uid="{00000000-0005-0000-0000-000004000000}"/>
    <cellStyle name="Normal_2_Norsk_WSyieldcurveconstruction" xfId="2" xr:uid="{00000000-0005-0000-0000-000005000000}"/>
    <cellStyle name="Normal_F60804a" xfId="3" xr:uid="{00000000-0005-0000-0000-000006000000}"/>
    <cellStyle name="Normal_MRISK-L" xfId="4" xr:uid="{00000000-0005-0000-0000-000007000000}"/>
    <cellStyle name="Overskrift 1 2" xfId="18" xr:uid="{394C6216-8BF3-443E-B3B6-68A24B9A5942}"/>
    <cellStyle name="Prosent" xfId="5" builtinId="5"/>
    <cellStyle name="Prosent 2" xfId="6" xr:uid="{00000000-0005-0000-0000-000009000000}"/>
    <cellStyle name="Prosent 2 2" xfId="7" xr:uid="{00000000-0005-0000-0000-00000A000000}"/>
    <cellStyle name="Prosent 3" xfId="8" xr:uid="{00000000-0005-0000-0000-00000B000000}"/>
    <cellStyle name="Prosent 4" xfId="14" xr:uid="{00000000-0005-0000-0000-00000C000000}"/>
    <cellStyle name="Prosent 5" xfId="17" xr:uid="{00000000-0005-0000-0000-00000D000000}"/>
    <cellStyle name="Valuta" xfId="9" builtinId="4"/>
    <cellStyle name="Valuta 2" xfId="10" xr:uid="{00000000-0005-0000-0000-00000F000000}"/>
    <cellStyle name="Valuta 2 2" xfId="11" xr:uid="{00000000-0005-0000-0000-000010000000}"/>
    <cellStyle name="Valuta 3" xfId="12" xr:uid="{00000000-0005-0000-0000-000011000000}"/>
  </cellStyles>
  <dxfs count="8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47</xdr:row>
      <xdr:rowOff>1</xdr:rowOff>
    </xdr:from>
    <xdr:to>
      <xdr:col>8</xdr:col>
      <xdr:colOff>1009649</xdr:colOff>
      <xdr:row>66</xdr:row>
      <xdr:rowOff>152400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23974" y="7239001"/>
          <a:ext cx="7419975" cy="5924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609</xdr:row>
          <xdr:rowOff>0</xdr:rowOff>
        </xdr:from>
        <xdr:to>
          <xdr:col>2</xdr:col>
          <xdr:colOff>222250</xdr:colOff>
          <xdr:row>609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9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norges-bank.no/templates/article____55484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3"/>
  <sheetViews>
    <sheetView tabSelected="1" zoomScaleNormal="100" zoomScaleSheetLayoutView="75" workbookViewId="0"/>
  </sheetViews>
  <sheetFormatPr baseColWidth="10" defaultColWidth="11.453125" defaultRowHeight="12.5"/>
  <cols>
    <col min="1" max="1" width="9" style="8" customWidth="1"/>
    <col min="2" max="2" width="10.6328125" style="8" customWidth="1"/>
    <col min="3" max="3" width="19.90625" style="8" customWidth="1"/>
    <col min="4" max="7" width="15.36328125" style="8" customWidth="1"/>
    <col min="8" max="8" width="16.36328125" style="8" customWidth="1"/>
    <col min="9" max="9" width="15.36328125" style="8" customWidth="1"/>
    <col min="10" max="16384" width="11.453125" style="8"/>
  </cols>
  <sheetData>
    <row r="1" spans="1:10">
      <c r="A1" s="5"/>
      <c r="B1" s="6"/>
      <c r="C1" s="6"/>
      <c r="D1" s="6"/>
      <c r="E1" s="6"/>
      <c r="F1" s="6"/>
      <c r="G1" s="6"/>
      <c r="H1" s="6"/>
      <c r="I1" s="6"/>
      <c r="J1" s="7"/>
    </row>
    <row r="2" spans="1:10" ht="15.5">
      <c r="A2" s="9"/>
      <c r="B2" s="11" t="s">
        <v>0</v>
      </c>
      <c r="C2" s="33"/>
      <c r="D2" s="33"/>
      <c r="E2" s="33"/>
      <c r="F2" s="33"/>
      <c r="G2" s="33"/>
      <c r="H2" s="259"/>
      <c r="I2" s="10"/>
      <c r="J2" s="12"/>
    </row>
    <row r="3" spans="1:10">
      <c r="A3" s="9"/>
      <c r="B3" s="13" t="s">
        <v>1</v>
      </c>
      <c r="C3" s="14"/>
      <c r="D3" s="14"/>
      <c r="E3" s="15"/>
      <c r="F3" s="16"/>
      <c r="G3" s="17" t="s">
        <v>2</v>
      </c>
      <c r="H3" s="18"/>
      <c r="I3" s="17" t="s">
        <v>3</v>
      </c>
      <c r="J3" s="12"/>
    </row>
    <row r="4" spans="1:10" ht="15.5">
      <c r="A4" s="9"/>
      <c r="B4" s="414"/>
      <c r="C4" s="415"/>
      <c r="D4" s="415"/>
      <c r="E4" s="416"/>
      <c r="F4" s="33"/>
      <c r="G4" s="19" t="s">
        <v>671</v>
      </c>
      <c r="H4" s="259"/>
      <c r="I4" s="20"/>
      <c r="J4" s="12"/>
    </row>
    <row r="5" spans="1:10">
      <c r="A5" s="9"/>
      <c r="B5" s="13" t="s">
        <v>4</v>
      </c>
      <c r="C5" s="425"/>
      <c r="D5" s="426"/>
      <c r="E5" s="17" t="s">
        <v>5</v>
      </c>
      <c r="F5" s="16"/>
      <c r="G5" s="16"/>
      <c r="H5" s="18"/>
      <c r="I5" s="259"/>
      <c r="J5" s="12"/>
    </row>
    <row r="6" spans="1:10" ht="18" customHeight="1">
      <c r="A6" s="9"/>
      <c r="B6" s="417"/>
      <c r="C6" s="418"/>
      <c r="D6" s="419"/>
      <c r="E6" s="20"/>
      <c r="F6" s="33"/>
      <c r="G6" s="33"/>
      <c r="H6" s="259"/>
      <c r="I6" s="259"/>
      <c r="J6" s="12"/>
    </row>
    <row r="7" spans="1:10">
      <c r="A7" s="9"/>
      <c r="B7" s="13" t="s">
        <v>6</v>
      </c>
      <c r="C7" s="423"/>
      <c r="D7" s="423"/>
      <c r="E7" s="424"/>
      <c r="F7" s="33"/>
      <c r="G7" s="33"/>
      <c r="H7" s="259"/>
      <c r="I7" s="21"/>
      <c r="J7" s="12"/>
    </row>
    <row r="8" spans="1:10" ht="18.75" customHeight="1">
      <c r="A8" s="9"/>
      <c r="B8" s="420"/>
      <c r="C8" s="421"/>
      <c r="D8" s="421"/>
      <c r="E8" s="422"/>
      <c r="F8" s="259"/>
      <c r="G8" s="259"/>
      <c r="H8" s="259"/>
      <c r="I8" s="21"/>
      <c r="J8" s="12"/>
    </row>
    <row r="9" spans="1:10" ht="12.75" customHeight="1">
      <c r="A9" s="9"/>
      <c r="B9" s="245"/>
      <c r="C9" s="259"/>
      <c r="D9" s="259"/>
      <c r="E9" s="259"/>
      <c r="F9" s="259"/>
      <c r="G9" s="259"/>
      <c r="H9" s="259"/>
      <c r="I9" s="22" t="s">
        <v>7</v>
      </c>
      <c r="J9" s="12"/>
    </row>
    <row r="10" spans="1:10" ht="12.75" customHeight="1">
      <c r="A10" s="9"/>
      <c r="B10" s="259"/>
      <c r="C10" s="259"/>
      <c r="D10" s="259"/>
      <c r="E10" s="259"/>
      <c r="F10" s="259"/>
      <c r="G10" s="259"/>
      <c r="H10" s="259"/>
      <c r="I10" s="21"/>
      <c r="J10" s="12"/>
    </row>
    <row r="11" spans="1:10" ht="17.5">
      <c r="A11" s="9"/>
      <c r="B11" s="23" t="s">
        <v>8</v>
      </c>
      <c r="C11" s="24"/>
      <c r="D11" s="24"/>
      <c r="E11" s="24"/>
      <c r="F11" s="24"/>
      <c r="G11" s="184"/>
      <c r="H11" s="260"/>
      <c r="I11" s="25"/>
      <c r="J11" s="12"/>
    </row>
    <row r="12" spans="1:10" ht="12.75" customHeight="1">
      <c r="A12" s="9"/>
      <c r="B12" s="27"/>
      <c r="C12" s="28"/>
      <c r="D12" s="28"/>
      <c r="E12" s="28"/>
      <c r="F12" s="28"/>
      <c r="G12" s="33"/>
      <c r="H12" s="259"/>
      <c r="I12" s="29"/>
      <c r="J12" s="12"/>
    </row>
    <row r="13" spans="1:10" ht="13">
      <c r="A13" s="9"/>
      <c r="B13" s="30" t="s">
        <v>9</v>
      </c>
      <c r="C13" s="33" t="s">
        <v>10</v>
      </c>
      <c r="D13" s="10"/>
      <c r="E13" s="10"/>
      <c r="F13" s="10"/>
      <c r="G13" s="10"/>
      <c r="H13" s="10"/>
      <c r="I13" s="31">
        <f>Markedsrisiko!I282</f>
        <v>0</v>
      </c>
      <c r="J13" s="12"/>
    </row>
    <row r="14" spans="1:10" ht="13">
      <c r="A14" s="9"/>
      <c r="B14" s="30" t="s">
        <v>11</v>
      </c>
      <c r="C14" s="33" t="s">
        <v>12</v>
      </c>
      <c r="D14" s="10"/>
      <c r="E14" s="10"/>
      <c r="F14" s="10"/>
      <c r="G14" s="10"/>
      <c r="H14" s="10"/>
      <c r="I14" s="31">
        <f>Livsforsikringsrisiko!I54</f>
        <v>0</v>
      </c>
      <c r="J14" s="12"/>
    </row>
    <row r="15" spans="1:10" ht="13">
      <c r="A15" s="9"/>
      <c r="B15" s="30" t="s">
        <v>13</v>
      </c>
      <c r="C15" s="33" t="s">
        <v>14</v>
      </c>
      <c r="D15" s="33"/>
      <c r="E15" s="33"/>
      <c r="F15" s="33"/>
      <c r="G15" s="33"/>
      <c r="H15" s="33"/>
      <c r="I15" s="261">
        <f>Helseforsikringsrisiko!H9</f>
        <v>0</v>
      </c>
      <c r="J15" s="12"/>
    </row>
    <row r="16" spans="1:10" ht="13">
      <c r="A16" s="9"/>
      <c r="B16" s="30" t="s">
        <v>15</v>
      </c>
      <c r="C16" s="33" t="s">
        <v>16</v>
      </c>
      <c r="D16" s="10"/>
      <c r="E16" s="10"/>
      <c r="F16" s="10"/>
      <c r="G16" s="10"/>
      <c r="H16" s="10"/>
      <c r="I16" s="31">
        <f>Motpartsrisiko!I183</f>
        <v>0</v>
      </c>
      <c r="J16" s="12"/>
    </row>
    <row r="17" spans="1:10" ht="13">
      <c r="A17" s="9"/>
      <c r="B17" s="30"/>
      <c r="C17" s="30"/>
      <c r="D17" s="10"/>
      <c r="E17" s="10"/>
      <c r="F17" s="10"/>
      <c r="G17" s="10"/>
      <c r="H17" s="10"/>
      <c r="I17" s="10"/>
      <c r="J17" s="12"/>
    </row>
    <row r="18" spans="1:10" ht="13">
      <c r="A18" s="9"/>
      <c r="B18" s="30"/>
      <c r="C18" s="30"/>
      <c r="D18" s="10"/>
      <c r="E18" s="10"/>
      <c r="F18" s="10"/>
      <c r="G18" s="10"/>
      <c r="H18" s="10"/>
      <c r="I18" s="10"/>
      <c r="J18" s="12"/>
    </row>
    <row r="19" spans="1:10" ht="13">
      <c r="A19" s="9"/>
      <c r="B19" s="30" t="s">
        <v>17</v>
      </c>
      <c r="C19" s="33" t="s">
        <v>18</v>
      </c>
      <c r="D19" s="33"/>
      <c r="E19" s="33"/>
      <c r="F19" s="33"/>
      <c r="G19" s="33"/>
      <c r="H19" s="33"/>
      <c r="I19" s="33"/>
      <c r="J19" s="12"/>
    </row>
    <row r="20" spans="1:10" s="38" customFormat="1">
      <c r="A20" s="32"/>
      <c r="B20" s="33"/>
      <c r="C20" s="34" t="s">
        <v>19</v>
      </c>
      <c r="D20" s="35" t="s">
        <v>20</v>
      </c>
      <c r="E20" s="36" t="s">
        <v>21</v>
      </c>
      <c r="F20" s="36" t="s">
        <v>22</v>
      </c>
      <c r="G20" s="35" t="s">
        <v>23</v>
      </c>
      <c r="H20" s="243" t="s">
        <v>24</v>
      </c>
      <c r="I20" s="33"/>
      <c r="J20" s="37"/>
    </row>
    <row r="21" spans="1:10" s="38" customFormat="1" ht="12.75" customHeight="1">
      <c r="A21" s="32"/>
      <c r="B21" s="33"/>
      <c r="C21" s="39" t="s">
        <v>20</v>
      </c>
      <c r="D21" s="40">
        <v>1</v>
      </c>
      <c r="E21" s="41">
        <v>0.25</v>
      </c>
      <c r="F21" s="41">
        <v>0.25</v>
      </c>
      <c r="G21" s="41">
        <v>0.25</v>
      </c>
      <c r="H21" s="42">
        <f>I13</f>
        <v>0</v>
      </c>
      <c r="I21" s="33"/>
      <c r="J21" s="37"/>
    </row>
    <row r="22" spans="1:10" s="38" customFormat="1" ht="12.75" customHeight="1">
      <c r="A22" s="32"/>
      <c r="B22" s="33"/>
      <c r="C22" s="9" t="s">
        <v>25</v>
      </c>
      <c r="D22" s="41">
        <v>0.25</v>
      </c>
      <c r="E22" s="40">
        <v>1</v>
      </c>
      <c r="F22" s="41">
        <v>0.25</v>
      </c>
      <c r="G22" s="41">
        <v>0.25</v>
      </c>
      <c r="H22" s="42">
        <f>I14</f>
        <v>0</v>
      </c>
      <c r="I22" s="33"/>
      <c r="J22" s="37"/>
    </row>
    <row r="23" spans="1:10" s="38" customFormat="1" ht="12.75" customHeight="1">
      <c r="A23" s="32"/>
      <c r="B23" s="33"/>
      <c r="C23" s="9" t="s">
        <v>26</v>
      </c>
      <c r="D23" s="41">
        <v>0.25</v>
      </c>
      <c r="E23" s="41">
        <v>0.25</v>
      </c>
      <c r="F23" s="40">
        <v>1</v>
      </c>
      <c r="G23" s="41">
        <v>0.25</v>
      </c>
      <c r="H23" s="42">
        <f>I15</f>
        <v>0</v>
      </c>
      <c r="I23" s="33"/>
      <c r="J23" s="37"/>
    </row>
    <row r="24" spans="1:10" s="38" customFormat="1" ht="12.75" customHeight="1">
      <c r="A24" s="32"/>
      <c r="B24" s="33"/>
      <c r="C24" s="43" t="s">
        <v>23</v>
      </c>
      <c r="D24" s="44">
        <v>0.25</v>
      </c>
      <c r="E24" s="44">
        <v>0.25</v>
      </c>
      <c r="F24" s="44">
        <v>0.25</v>
      </c>
      <c r="G24" s="45">
        <v>1</v>
      </c>
      <c r="H24" s="42">
        <f>I16</f>
        <v>0</v>
      </c>
      <c r="I24" s="33"/>
      <c r="J24" s="37"/>
    </row>
    <row r="25" spans="1:10" ht="12.75" customHeight="1">
      <c r="A25" s="9"/>
      <c r="B25" s="33"/>
      <c r="C25" s="46" t="s">
        <v>27</v>
      </c>
      <c r="D25" s="47">
        <f>I13</f>
        <v>0</v>
      </c>
      <c r="E25" s="47">
        <f>I14</f>
        <v>0</v>
      </c>
      <c r="F25" s="47">
        <f>I15</f>
        <v>0</v>
      </c>
      <c r="G25" s="48">
        <f>I16</f>
        <v>0</v>
      </c>
      <c r="H25" s="33"/>
      <c r="I25" s="33"/>
      <c r="J25" s="12"/>
    </row>
    <row r="26" spans="1:10" ht="12.75" customHeight="1">
      <c r="A26" s="9"/>
      <c r="B26" s="33"/>
      <c r="C26" s="10"/>
      <c r="D26" s="10"/>
      <c r="E26" s="10"/>
      <c r="F26" s="10"/>
      <c r="G26" s="33"/>
      <c r="H26" s="33"/>
      <c r="I26" s="33"/>
      <c r="J26" s="12"/>
    </row>
    <row r="27" spans="1:10" ht="12.75" customHeight="1">
      <c r="A27" s="9"/>
      <c r="B27" s="30"/>
      <c r="C27" s="33" t="s">
        <v>28</v>
      </c>
      <c r="D27" s="10"/>
      <c r="E27" s="10"/>
      <c r="F27" s="10"/>
      <c r="G27" s="33"/>
      <c r="H27" s="262">
        <f>MMULT(D25:G25,MMULT(D21:G24,H21:H24))</f>
        <v>0</v>
      </c>
      <c r="I27" s="263"/>
      <c r="J27" s="12"/>
    </row>
    <row r="28" spans="1:10" ht="12.75" customHeight="1" thickBot="1">
      <c r="A28" s="9"/>
      <c r="B28" s="30"/>
      <c r="C28" s="33"/>
      <c r="D28" s="10"/>
      <c r="E28" s="10"/>
      <c r="F28" s="10"/>
      <c r="G28" s="33"/>
      <c r="H28" s="33"/>
      <c r="I28" s="264"/>
      <c r="J28" s="12"/>
    </row>
    <row r="29" spans="1:10">
      <c r="A29" s="9"/>
      <c r="B29" s="265"/>
      <c r="C29" s="49"/>
      <c r="D29" s="49"/>
      <c r="E29" s="49"/>
      <c r="F29" s="49"/>
      <c r="G29" s="265"/>
      <c r="H29" s="265"/>
      <c r="I29" s="265"/>
      <c r="J29" s="12"/>
    </row>
    <row r="30" spans="1:10" ht="13">
      <c r="A30" s="9"/>
      <c r="B30" s="30" t="s">
        <v>29</v>
      </c>
      <c r="C30" s="33" t="s">
        <v>30</v>
      </c>
      <c r="D30" s="33"/>
      <c r="E30" s="33"/>
      <c r="F30" s="33"/>
      <c r="G30" s="33"/>
      <c r="H30" s="33"/>
      <c r="I30" s="261">
        <f>SQRT(H27)</f>
        <v>0</v>
      </c>
      <c r="J30" s="12"/>
    </row>
    <row r="31" spans="1:10" ht="13">
      <c r="A31" s="9"/>
      <c r="B31" s="30" t="s">
        <v>31</v>
      </c>
      <c r="C31" s="33" t="s">
        <v>32</v>
      </c>
      <c r="D31" s="33"/>
      <c r="E31" s="33"/>
      <c r="F31" s="33"/>
      <c r="G31" s="33"/>
      <c r="H31" s="33"/>
      <c r="I31" s="261">
        <f>'Operasjonell risiko'!I6</f>
        <v>0</v>
      </c>
      <c r="J31" s="12"/>
    </row>
    <row r="32" spans="1:10" ht="13">
      <c r="A32" s="9"/>
      <c r="B32" s="30" t="s">
        <v>33</v>
      </c>
      <c r="C32" s="33" t="s">
        <v>34</v>
      </c>
      <c r="D32" s="33"/>
      <c r="E32" s="33"/>
      <c r="F32" s="33"/>
      <c r="G32" s="33"/>
      <c r="H32" s="33"/>
      <c r="I32" s="261">
        <f>-0.15*(I30+I31)</f>
        <v>0</v>
      </c>
      <c r="J32" s="12"/>
    </row>
    <row r="33" spans="1:10" ht="13">
      <c r="A33" s="9"/>
      <c r="B33" s="30" t="s">
        <v>35</v>
      </c>
      <c r="C33" s="30" t="s">
        <v>36</v>
      </c>
      <c r="D33" s="30"/>
      <c r="E33" s="30"/>
      <c r="F33" s="30"/>
      <c r="G33" s="30"/>
      <c r="H33" s="30"/>
      <c r="I33" s="50">
        <f>I30+I31+I32</f>
        <v>0</v>
      </c>
      <c r="J33" s="12"/>
    </row>
    <row r="34" spans="1:10">
      <c r="A34" s="9"/>
      <c r="B34" s="33"/>
      <c r="C34" s="33"/>
      <c r="D34" s="33"/>
      <c r="E34" s="33"/>
      <c r="F34" s="33"/>
      <c r="G34" s="33"/>
      <c r="H34" s="33"/>
      <c r="I34" s="33"/>
      <c r="J34" s="12"/>
    </row>
    <row r="35" spans="1:10" ht="13">
      <c r="A35" s="9"/>
      <c r="B35" s="30" t="s">
        <v>37</v>
      </c>
      <c r="C35" s="30" t="s">
        <v>38</v>
      </c>
      <c r="D35" s="10"/>
      <c r="E35" s="10"/>
      <c r="F35" s="10"/>
      <c r="G35" s="10"/>
      <c r="H35" s="10"/>
      <c r="I35" s="51">
        <f>'Ansvarlig kapital'!F38</f>
        <v>0</v>
      </c>
      <c r="J35" s="12"/>
    </row>
    <row r="36" spans="1:10" ht="13.5" thickBot="1">
      <c r="A36" s="9"/>
      <c r="B36" s="30"/>
      <c r="C36" s="10"/>
      <c r="D36" s="10"/>
      <c r="E36" s="10"/>
      <c r="F36" s="10"/>
      <c r="G36" s="10"/>
      <c r="H36" s="10"/>
      <c r="I36" s="10"/>
      <c r="J36" s="12"/>
    </row>
    <row r="37" spans="1:10" ht="13.5" thickBot="1">
      <c r="A37" s="9"/>
      <c r="B37" s="30" t="s">
        <v>39</v>
      </c>
      <c r="C37" s="30" t="s">
        <v>40</v>
      </c>
      <c r="D37" s="10"/>
      <c r="E37" s="10"/>
      <c r="F37" s="10"/>
      <c r="G37" s="10"/>
      <c r="H37" s="10"/>
      <c r="I37" s="52">
        <f>I35-I33</f>
        <v>0</v>
      </c>
      <c r="J37" s="12"/>
    </row>
    <row r="38" spans="1:10" ht="13">
      <c r="A38" s="9"/>
      <c r="B38" s="30" t="s">
        <v>41</v>
      </c>
      <c r="C38" s="30" t="s">
        <v>42</v>
      </c>
      <c r="D38" s="10"/>
      <c r="E38" s="10"/>
      <c r="F38" s="10"/>
      <c r="G38" s="10"/>
      <c r="H38" s="10"/>
      <c r="I38" s="53" t="e">
        <f>(I35/I33)</f>
        <v>#DIV/0!</v>
      </c>
      <c r="J38" s="12"/>
    </row>
    <row r="39" spans="1:10" ht="13">
      <c r="A39" s="9"/>
      <c r="B39" s="30"/>
      <c r="C39" s="30"/>
      <c r="D39" s="30"/>
      <c r="E39" s="30"/>
      <c r="F39" s="30"/>
      <c r="G39" s="30"/>
      <c r="H39" s="30"/>
      <c r="I39" s="30"/>
      <c r="J39" s="12"/>
    </row>
    <row r="40" spans="1:10" ht="13.5" thickBot="1">
      <c r="A40" s="9"/>
      <c r="B40" s="30" t="s">
        <v>43</v>
      </c>
      <c r="C40" s="30" t="s">
        <v>44</v>
      </c>
      <c r="D40" s="10"/>
      <c r="E40" s="10"/>
      <c r="F40" s="10"/>
      <c r="G40" s="10"/>
      <c r="H40" s="10"/>
      <c r="I40" s="51">
        <f>'Ansvarlig kapital'!F40</f>
        <v>0</v>
      </c>
      <c r="J40" s="12"/>
    </row>
    <row r="41" spans="1:10" ht="13.5" thickBot="1">
      <c r="A41" s="9"/>
      <c r="B41" s="30" t="s">
        <v>45</v>
      </c>
      <c r="C41" s="30" t="s">
        <v>46</v>
      </c>
      <c r="D41" s="10"/>
      <c r="E41" s="10"/>
      <c r="F41" s="10"/>
      <c r="G41" s="10"/>
      <c r="H41" s="10"/>
      <c r="I41" s="52">
        <f>I40-I33</f>
        <v>0</v>
      </c>
      <c r="J41" s="12"/>
    </row>
    <row r="42" spans="1:10" ht="13">
      <c r="A42" s="9"/>
      <c r="B42" s="30" t="s">
        <v>47</v>
      </c>
      <c r="C42" s="30" t="s">
        <v>48</v>
      </c>
      <c r="D42" s="10"/>
      <c r="E42" s="10"/>
      <c r="F42" s="10"/>
      <c r="G42" s="10"/>
      <c r="H42" s="10"/>
      <c r="I42" s="53" t="e">
        <f>(I40/I33)</f>
        <v>#DIV/0!</v>
      </c>
      <c r="J42" s="12"/>
    </row>
    <row r="43" spans="1:10" ht="13">
      <c r="A43" s="9"/>
      <c r="B43" s="30"/>
      <c r="C43" s="30"/>
      <c r="D43" s="30"/>
      <c r="E43" s="30"/>
      <c r="F43" s="30"/>
      <c r="G43" s="30"/>
      <c r="H43" s="30"/>
      <c r="I43" s="30"/>
      <c r="J43" s="12"/>
    </row>
    <row r="44" spans="1:10" ht="13">
      <c r="A44" s="9"/>
      <c r="B44" s="10"/>
      <c r="C44" s="30"/>
      <c r="D44" s="30"/>
      <c r="E44" s="30"/>
      <c r="F44" s="30"/>
      <c r="G44" s="30"/>
      <c r="H44" s="30"/>
      <c r="I44" s="30"/>
      <c r="J44" s="12"/>
    </row>
    <row r="45" spans="1:10" ht="15.5">
      <c r="A45" s="9"/>
      <c r="B45" s="23" t="s">
        <v>49</v>
      </c>
      <c r="C45" s="184"/>
      <c r="D45" s="184"/>
      <c r="E45" s="184"/>
      <c r="F45" s="184"/>
      <c r="G45" s="184"/>
      <c r="H45" s="260"/>
      <c r="I45" s="184"/>
      <c r="J45" s="12"/>
    </row>
    <row r="46" spans="1:10" ht="13">
      <c r="A46" s="9"/>
      <c r="B46" s="30"/>
      <c r="C46" s="33"/>
      <c r="D46" s="33"/>
      <c r="E46" s="33"/>
      <c r="F46" s="33"/>
      <c r="G46" s="33"/>
      <c r="H46" s="259"/>
      <c r="I46" s="33"/>
      <c r="J46" s="12"/>
    </row>
    <row r="47" spans="1:10" ht="13">
      <c r="A47" s="9"/>
      <c r="B47" s="30" t="s">
        <v>50</v>
      </c>
      <c r="C47" s="54" t="s">
        <v>51</v>
      </c>
      <c r="D47" s="266"/>
      <c r="E47" s="266"/>
      <c r="F47" s="266"/>
      <c r="G47" s="266"/>
      <c r="H47" s="266"/>
      <c r="I47" s="267"/>
      <c r="J47" s="12"/>
    </row>
    <row r="48" spans="1:10" ht="225" customHeight="1">
      <c r="A48" s="9"/>
      <c r="B48" s="30"/>
      <c r="C48" s="411"/>
      <c r="D48" s="412"/>
      <c r="E48" s="412"/>
      <c r="F48" s="412"/>
      <c r="G48" s="412"/>
      <c r="H48" s="412"/>
      <c r="I48" s="413"/>
      <c r="J48" s="12"/>
    </row>
    <row r="49" spans="1:10" ht="13">
      <c r="A49" s="9"/>
      <c r="B49" s="30"/>
      <c r="C49" s="411"/>
      <c r="D49" s="412"/>
      <c r="E49" s="412"/>
      <c r="F49" s="412"/>
      <c r="G49" s="412"/>
      <c r="H49" s="412"/>
      <c r="I49" s="413"/>
      <c r="J49" s="12"/>
    </row>
    <row r="50" spans="1:10" ht="13">
      <c r="A50" s="9"/>
      <c r="B50" s="30"/>
      <c r="C50" s="411"/>
      <c r="D50" s="412"/>
      <c r="E50" s="412"/>
      <c r="F50" s="412"/>
      <c r="G50" s="412"/>
      <c r="H50" s="412"/>
      <c r="I50" s="413"/>
      <c r="J50" s="12"/>
    </row>
    <row r="51" spans="1:10" ht="13">
      <c r="A51" s="9"/>
      <c r="B51" s="30"/>
      <c r="C51" s="411"/>
      <c r="D51" s="412"/>
      <c r="E51" s="412"/>
      <c r="F51" s="412"/>
      <c r="G51" s="412"/>
      <c r="H51" s="412"/>
      <c r="I51" s="413"/>
      <c r="J51" s="12"/>
    </row>
    <row r="52" spans="1:10" ht="13">
      <c r="A52" s="9"/>
      <c r="B52" s="30"/>
      <c r="C52" s="268"/>
      <c r="D52" s="269"/>
      <c r="E52" s="269"/>
      <c r="F52" s="269"/>
      <c r="G52" s="269"/>
      <c r="H52" s="269"/>
      <c r="I52" s="270"/>
      <c r="J52" s="12"/>
    </row>
    <row r="53" spans="1:10" ht="13">
      <c r="A53" s="9"/>
      <c r="B53" s="30"/>
      <c r="C53" s="268"/>
      <c r="D53" s="269"/>
      <c r="E53" s="269"/>
      <c r="F53" s="269"/>
      <c r="G53" s="269"/>
      <c r="H53" s="269"/>
      <c r="I53" s="270"/>
      <c r="J53" s="12"/>
    </row>
    <row r="54" spans="1:10" ht="13">
      <c r="A54" s="9"/>
      <c r="B54" s="30"/>
      <c r="C54" s="268"/>
      <c r="D54" s="269"/>
      <c r="E54" s="269"/>
      <c r="F54" s="269"/>
      <c r="G54" s="269"/>
      <c r="H54" s="269"/>
      <c r="I54" s="270"/>
      <c r="J54" s="12"/>
    </row>
    <row r="55" spans="1:10" ht="13">
      <c r="A55" s="9"/>
      <c r="B55" s="30"/>
      <c r="C55" s="268"/>
      <c r="D55" s="269"/>
      <c r="E55" s="269"/>
      <c r="F55" s="269"/>
      <c r="G55" s="269"/>
      <c r="H55" s="269"/>
      <c r="I55" s="270"/>
      <c r="J55" s="12"/>
    </row>
    <row r="56" spans="1:10" ht="13">
      <c r="A56" s="9"/>
      <c r="B56" s="30"/>
      <c r="C56" s="268"/>
      <c r="D56" s="269"/>
      <c r="E56" s="269"/>
      <c r="F56" s="269"/>
      <c r="G56" s="269"/>
      <c r="H56" s="269"/>
      <c r="I56" s="270"/>
      <c r="J56" s="12"/>
    </row>
    <row r="57" spans="1:10" ht="13">
      <c r="A57" s="9"/>
      <c r="B57" s="30"/>
      <c r="C57" s="268"/>
      <c r="D57" s="269"/>
      <c r="E57" s="269"/>
      <c r="F57" s="269"/>
      <c r="G57" s="269"/>
      <c r="H57" s="269"/>
      <c r="I57" s="270"/>
      <c r="J57" s="12"/>
    </row>
    <row r="58" spans="1:10" ht="13">
      <c r="A58" s="9"/>
      <c r="B58" s="30"/>
      <c r="C58" s="268"/>
      <c r="D58" s="269"/>
      <c r="E58" s="269"/>
      <c r="F58" s="269"/>
      <c r="G58" s="269"/>
      <c r="H58" s="269"/>
      <c r="I58" s="270"/>
      <c r="J58" s="12"/>
    </row>
    <row r="59" spans="1:10" ht="13">
      <c r="A59" s="9"/>
      <c r="B59" s="30"/>
      <c r="C59" s="268"/>
      <c r="D59" s="269"/>
      <c r="E59" s="269"/>
      <c r="F59" s="269"/>
      <c r="G59" s="269"/>
      <c r="H59" s="269"/>
      <c r="I59" s="270"/>
      <c r="J59" s="12"/>
    </row>
    <row r="60" spans="1:10" ht="13">
      <c r="A60" s="9"/>
      <c r="B60" s="30"/>
      <c r="C60" s="268"/>
      <c r="D60" s="269"/>
      <c r="E60" s="269"/>
      <c r="F60" s="269"/>
      <c r="G60" s="269"/>
      <c r="H60" s="269"/>
      <c r="I60" s="270"/>
      <c r="J60" s="12"/>
    </row>
    <row r="61" spans="1:10" ht="13">
      <c r="A61" s="9"/>
      <c r="B61" s="30"/>
      <c r="C61" s="268"/>
      <c r="D61" s="269"/>
      <c r="E61" s="269"/>
      <c r="F61" s="269"/>
      <c r="G61" s="269"/>
      <c r="H61" s="269"/>
      <c r="I61" s="270"/>
      <c r="J61" s="12"/>
    </row>
    <row r="62" spans="1:10" ht="13">
      <c r="A62" s="9"/>
      <c r="B62" s="30"/>
      <c r="C62" s="268"/>
      <c r="D62" s="269"/>
      <c r="E62" s="269"/>
      <c r="F62" s="269"/>
      <c r="G62" s="269"/>
      <c r="H62" s="269"/>
      <c r="I62" s="270"/>
      <c r="J62" s="12"/>
    </row>
    <row r="63" spans="1:10" ht="13">
      <c r="A63" s="9"/>
      <c r="B63" s="30"/>
      <c r="C63" s="268"/>
      <c r="D63" s="269"/>
      <c r="E63" s="269"/>
      <c r="F63" s="269"/>
      <c r="G63" s="269"/>
      <c r="H63" s="269"/>
      <c r="I63" s="270"/>
      <c r="J63" s="12"/>
    </row>
    <row r="64" spans="1:10" ht="13">
      <c r="A64" s="9"/>
      <c r="B64" s="30"/>
      <c r="C64" s="268"/>
      <c r="D64" s="269"/>
      <c r="E64" s="269"/>
      <c r="F64" s="269"/>
      <c r="G64" s="269"/>
      <c r="H64" s="269"/>
      <c r="I64" s="270"/>
      <c r="J64" s="12"/>
    </row>
    <row r="65" spans="1:10" ht="13">
      <c r="A65" s="9"/>
      <c r="B65" s="30"/>
      <c r="C65" s="268"/>
      <c r="D65" s="269"/>
      <c r="E65" s="269"/>
      <c r="F65" s="269"/>
      <c r="G65" s="269"/>
      <c r="H65" s="269"/>
      <c r="I65" s="270"/>
      <c r="J65" s="12"/>
    </row>
    <row r="66" spans="1:10" ht="13">
      <c r="A66" s="9"/>
      <c r="B66" s="30"/>
      <c r="C66" s="268"/>
      <c r="D66" s="269"/>
      <c r="E66" s="269"/>
      <c r="F66" s="269"/>
      <c r="G66" s="269"/>
      <c r="H66" s="269"/>
      <c r="I66" s="270"/>
      <c r="J66" s="12"/>
    </row>
    <row r="67" spans="1:10" ht="13">
      <c r="A67" s="9"/>
      <c r="B67" s="30"/>
      <c r="C67" s="271"/>
      <c r="D67" s="272"/>
      <c r="E67" s="272"/>
      <c r="F67" s="272"/>
      <c r="G67" s="272"/>
      <c r="H67" s="272"/>
      <c r="I67" s="273"/>
      <c r="J67" s="12"/>
    </row>
    <row r="68" spans="1:10" ht="13">
      <c r="A68" s="9"/>
      <c r="B68" s="30"/>
      <c r="C68" s="259"/>
      <c r="D68" s="259"/>
      <c r="E68" s="259"/>
      <c r="F68" s="259"/>
      <c r="G68" s="259"/>
      <c r="H68" s="259"/>
      <c r="I68" s="259"/>
      <c r="J68" s="12"/>
    </row>
    <row r="69" spans="1:10">
      <c r="A69" s="55"/>
      <c r="B69" s="26"/>
      <c r="C69" s="26"/>
      <c r="D69" s="26"/>
      <c r="E69" s="26"/>
      <c r="F69" s="26"/>
      <c r="G69" s="26"/>
      <c r="H69" s="26"/>
      <c r="I69" s="26"/>
      <c r="J69" s="56"/>
    </row>
    <row r="74" spans="1:10" hidden="1"/>
    <row r="75" spans="1:10" hidden="1"/>
    <row r="76" spans="1:10" ht="12.75" hidden="1" customHeight="1">
      <c r="C76" s="6"/>
      <c r="D76" s="6"/>
      <c r="E76" s="6"/>
      <c r="F76" s="6"/>
      <c r="G76" s="6"/>
      <c r="H76" s="6"/>
      <c r="I76" s="6"/>
    </row>
    <row r="77" spans="1:10" ht="15" hidden="1" customHeight="1">
      <c r="C77" s="33" t="s">
        <v>52</v>
      </c>
      <c r="D77" s="33"/>
      <c r="E77" s="33"/>
      <c r="F77" s="33"/>
      <c r="G77" s="33"/>
      <c r="H77" s="33"/>
      <c r="I77" s="33"/>
    </row>
    <row r="78" spans="1:10" ht="15" hidden="1" customHeight="1">
      <c r="C78" s="34" t="s">
        <v>19</v>
      </c>
      <c r="D78" s="35" t="s">
        <v>20</v>
      </c>
      <c r="E78" s="36" t="s">
        <v>21</v>
      </c>
      <c r="F78" s="36" t="s">
        <v>22</v>
      </c>
      <c r="G78" s="35" t="s">
        <v>23</v>
      </c>
      <c r="H78" s="243" t="s">
        <v>24</v>
      </c>
      <c r="I78" s="33"/>
    </row>
    <row r="79" spans="1:10" ht="15" hidden="1" customHeight="1">
      <c r="C79" s="39" t="s">
        <v>20</v>
      </c>
      <c r="D79" s="40">
        <v>1</v>
      </c>
      <c r="E79" s="41">
        <v>0.25</v>
      </c>
      <c r="F79" s="41">
        <v>0.25</v>
      </c>
      <c r="G79" s="41">
        <v>0.25</v>
      </c>
      <c r="H79" s="57">
        <f>H21</f>
        <v>0</v>
      </c>
      <c r="I79" s="33"/>
    </row>
    <row r="80" spans="1:10" ht="15" hidden="1" customHeight="1">
      <c r="C80" s="9" t="s">
        <v>25</v>
      </c>
      <c r="D80" s="41">
        <v>0.25</v>
      </c>
      <c r="E80" s="40">
        <v>1</v>
      </c>
      <c r="F80" s="41">
        <v>0.25</v>
      </c>
      <c r="G80" s="41">
        <v>0.25</v>
      </c>
      <c r="H80" s="57">
        <v>0</v>
      </c>
      <c r="I80" s="33"/>
    </row>
    <row r="81" spans="3:9" ht="15" hidden="1" customHeight="1">
      <c r="C81" s="9" t="s">
        <v>26</v>
      </c>
      <c r="D81" s="41">
        <v>0.25</v>
      </c>
      <c r="E81" s="41">
        <v>0.25</v>
      </c>
      <c r="F81" s="40">
        <v>1</v>
      </c>
      <c r="G81" s="41">
        <v>0.25</v>
      </c>
      <c r="H81" s="57">
        <v>0</v>
      </c>
      <c r="I81" s="33"/>
    </row>
    <row r="82" spans="3:9" ht="15" hidden="1" customHeight="1">
      <c r="C82" s="43" t="s">
        <v>23</v>
      </c>
      <c r="D82" s="44">
        <v>0.25</v>
      </c>
      <c r="E82" s="44">
        <v>0.25</v>
      </c>
      <c r="F82" s="44">
        <v>0.25</v>
      </c>
      <c r="G82" s="45">
        <v>1</v>
      </c>
      <c r="H82" s="57">
        <f>H24</f>
        <v>0</v>
      </c>
      <c r="I82" s="33"/>
    </row>
    <row r="83" spans="3:9" ht="15" hidden="1" customHeight="1">
      <c r="C83" s="46" t="s">
        <v>27</v>
      </c>
      <c r="D83" s="47">
        <f>H79</f>
        <v>0</v>
      </c>
      <c r="E83" s="47">
        <f>H80</f>
        <v>0</v>
      </c>
      <c r="F83" s="47">
        <f>H81</f>
        <v>0</v>
      </c>
      <c r="G83" s="48">
        <f>H82</f>
        <v>0</v>
      </c>
      <c r="H83" s="33"/>
      <c r="I83" s="33"/>
    </row>
    <row r="84" spans="3:9" ht="15" hidden="1" customHeight="1">
      <c r="C84" s="10"/>
      <c r="D84" s="10"/>
      <c r="E84" s="10"/>
      <c r="F84" s="10"/>
      <c r="G84" s="33"/>
      <c r="H84" s="33"/>
      <c r="I84" s="33"/>
    </row>
    <row r="85" spans="3:9" ht="15" hidden="1" customHeight="1">
      <c r="C85" s="33" t="s">
        <v>28</v>
      </c>
      <c r="D85" s="10"/>
      <c r="E85" s="10"/>
      <c r="F85" s="10"/>
      <c r="G85" s="33"/>
      <c r="H85" s="274">
        <f>MMULT(D83:G83,MMULT(D79:G82,H79:H82))</f>
        <v>0</v>
      </c>
      <c r="I85" s="275"/>
    </row>
    <row r="86" spans="3:9" ht="15" hidden="1" customHeight="1">
      <c r="C86" s="10"/>
      <c r="D86" s="10"/>
      <c r="E86" s="10"/>
      <c r="F86" s="10"/>
      <c r="G86" s="10"/>
      <c r="H86" s="10"/>
      <c r="I86" s="10"/>
    </row>
    <row r="87" spans="3:9" ht="15" hidden="1" customHeight="1">
      <c r="C87" s="33"/>
      <c r="D87" s="10"/>
      <c r="E87" s="10"/>
      <c r="F87" s="10"/>
      <c r="G87" s="10"/>
      <c r="H87" s="10"/>
      <c r="I87" s="50">
        <f>SQRT(H85)</f>
        <v>0</v>
      </c>
    </row>
    <row r="88" spans="3:9" ht="12.75" hidden="1" customHeight="1">
      <c r="C88" s="26"/>
      <c r="D88" s="26"/>
      <c r="E88" s="26"/>
      <c r="F88" s="26"/>
      <c r="G88" s="26"/>
      <c r="H88" s="26"/>
      <c r="I88" s="26"/>
    </row>
    <row r="89" spans="3:9" hidden="1"/>
    <row r="90" spans="3:9" hidden="1"/>
    <row r="91" spans="3:9" hidden="1">
      <c r="C91" s="33" t="s">
        <v>53</v>
      </c>
      <c r="D91" s="33"/>
      <c r="E91" s="33"/>
      <c r="F91" s="33"/>
      <c r="G91" s="33"/>
      <c r="H91" s="33"/>
      <c r="I91" s="33"/>
    </row>
    <row r="92" spans="3:9" hidden="1">
      <c r="C92" s="34" t="s">
        <v>19</v>
      </c>
      <c r="D92" s="35" t="s">
        <v>20</v>
      </c>
      <c r="E92" s="36" t="s">
        <v>21</v>
      </c>
      <c r="F92" s="36" t="s">
        <v>22</v>
      </c>
      <c r="G92" s="35" t="s">
        <v>23</v>
      </c>
      <c r="H92" s="243" t="s">
        <v>24</v>
      </c>
      <c r="I92" s="33"/>
    </row>
    <row r="93" spans="3:9" hidden="1">
      <c r="C93" s="39" t="s">
        <v>20</v>
      </c>
      <c r="D93" s="40">
        <v>1</v>
      </c>
      <c r="E93" s="41">
        <v>0.25</v>
      </c>
      <c r="F93" s="41">
        <v>0.25</v>
      </c>
      <c r="G93" s="41">
        <v>0.25</v>
      </c>
      <c r="H93" s="57">
        <f>H21</f>
        <v>0</v>
      </c>
      <c r="I93" s="33"/>
    </row>
    <row r="94" spans="3:9" hidden="1">
      <c r="C94" s="9" t="s">
        <v>25</v>
      </c>
      <c r="D94" s="41">
        <v>0.25</v>
      </c>
      <c r="E94" s="40">
        <v>1</v>
      </c>
      <c r="F94" s="41">
        <v>0.25</v>
      </c>
      <c r="G94" s="41">
        <v>0.25</v>
      </c>
      <c r="H94" s="57">
        <f>Livsforsikringsrisiko!I70</f>
        <v>0</v>
      </c>
      <c r="I94" s="33"/>
    </row>
    <row r="95" spans="3:9" hidden="1">
      <c r="C95" s="9" t="s">
        <v>26</v>
      </c>
      <c r="D95" s="41">
        <v>0.25</v>
      </c>
      <c r="E95" s="41">
        <v>0.25</v>
      </c>
      <c r="F95" s="40">
        <v>1</v>
      </c>
      <c r="G95" s="41">
        <v>0.25</v>
      </c>
      <c r="H95" s="57">
        <f>Helseforsikringsrisiko!H9</f>
        <v>0</v>
      </c>
      <c r="I95" s="33"/>
    </row>
    <row r="96" spans="3:9" hidden="1">
      <c r="C96" s="43" t="s">
        <v>23</v>
      </c>
      <c r="D96" s="44">
        <v>0.25</v>
      </c>
      <c r="E96" s="44">
        <v>0.25</v>
      </c>
      <c r="F96" s="44">
        <v>0.25</v>
      </c>
      <c r="G96" s="45">
        <v>1</v>
      </c>
      <c r="H96" s="57">
        <f>H24</f>
        <v>0</v>
      </c>
      <c r="I96" s="33"/>
    </row>
    <row r="97" spans="3:9" ht="15" hidden="1" customHeight="1">
      <c r="C97" s="46" t="s">
        <v>27</v>
      </c>
      <c r="D97" s="47">
        <f>H93</f>
        <v>0</v>
      </c>
      <c r="E97" s="47">
        <f>H94</f>
        <v>0</v>
      </c>
      <c r="F97" s="47">
        <f>H95</f>
        <v>0</v>
      </c>
      <c r="G97" s="48">
        <f>H96</f>
        <v>0</v>
      </c>
      <c r="H97" s="33"/>
      <c r="I97" s="33"/>
    </row>
    <row r="98" spans="3:9" hidden="1">
      <c r="C98" s="10"/>
      <c r="D98" s="10"/>
      <c r="E98" s="10"/>
      <c r="F98" s="10"/>
      <c r="G98" s="33"/>
      <c r="H98" s="33"/>
      <c r="I98" s="33"/>
    </row>
    <row r="99" spans="3:9" ht="15.5" hidden="1">
      <c r="C99" s="33" t="s">
        <v>28</v>
      </c>
      <c r="D99" s="10"/>
      <c r="E99" s="10"/>
      <c r="F99" s="10"/>
      <c r="G99" s="33"/>
      <c r="H99" s="274">
        <f>MMULT(D97:G97,MMULT(D93:G96,H93:H96))</f>
        <v>0</v>
      </c>
      <c r="I99" s="275"/>
    </row>
    <row r="100" spans="3:9" hidden="1">
      <c r="C100" s="10"/>
      <c r="D100" s="10"/>
      <c r="E100" s="10"/>
      <c r="F100" s="10"/>
      <c r="G100" s="10"/>
      <c r="H100" s="10"/>
      <c r="I100" s="10"/>
    </row>
    <row r="101" spans="3:9" ht="13" hidden="1">
      <c r="C101" s="33"/>
      <c r="D101" s="10"/>
      <c r="E101" s="10"/>
      <c r="F101" s="10"/>
      <c r="G101" s="10"/>
      <c r="H101" s="10"/>
      <c r="I101" s="50">
        <f>SQRT(H99)</f>
        <v>0</v>
      </c>
    </row>
    <row r="102" spans="3:9" hidden="1"/>
    <row r="103" spans="3:9" hidden="1"/>
  </sheetData>
  <sheetProtection sheet="1" formatCells="0" formatColumns="0" formatRows="0" insertColumns="0" insertHyperlinks="0" deleteColumns="0" sort="0" autoFilter="0" pivotTables="0"/>
  <mergeCells count="6">
    <mergeCell ref="C48:I51"/>
    <mergeCell ref="B4:E4"/>
    <mergeCell ref="B6:D6"/>
    <mergeCell ref="B8:E8"/>
    <mergeCell ref="C7:E7"/>
    <mergeCell ref="C5:D5"/>
  </mergeCells>
  <phoneticPr fontId="5" type="noConversion"/>
  <conditionalFormatting sqref="I37">
    <cfRule type="cellIs" dxfId="7" priority="11" stopIfTrue="1" operator="lessThanOrEqual">
      <formula>0</formula>
    </cfRule>
    <cfRule type="cellIs" dxfId="6" priority="12" stopIfTrue="1" operator="greaterThan">
      <formula>0</formula>
    </cfRule>
  </conditionalFormatting>
  <conditionalFormatting sqref="I38">
    <cfRule type="cellIs" dxfId="5" priority="10" stopIfTrue="1" operator="lessThan">
      <formula>1</formula>
    </cfRule>
  </conditionalFormatting>
  <conditionalFormatting sqref="I41">
    <cfRule type="cellIs" dxfId="4" priority="3" stopIfTrue="1" operator="lessThanOrEqual">
      <formula>0</formula>
    </cfRule>
    <cfRule type="cellIs" dxfId="3" priority="4" stopIfTrue="1" operator="greaterThan">
      <formula>0</formula>
    </cfRule>
  </conditionalFormatting>
  <conditionalFormatting sqref="I42">
    <cfRule type="cellIs" dxfId="2" priority="7" stopIfTrue="1" operator="lessThan">
      <formula>1</formula>
    </cfRule>
  </conditionalFormatting>
  <pageMargins left="0.75" right="0.75" top="1" bottom="1" header="0.5" footer="0.5"/>
  <pageSetup paperSize="9" scale="61" fitToHeight="0" pageOrder="overThenDown" orientation="portrait" r:id="rId1"/>
  <headerFooter alignWithMargins="0">
    <oddFooter>&amp;CSide &amp;P</oddFooter>
  </headerFooter>
  <rowBreaks count="1" manualBreakCount="1">
    <brk id="44" max="16383" man="1"/>
  </rowBreaks>
  <ignoredErrors>
    <ignoredError sqref="I33:I35 H21:H27 D25:G25 I37 I13:I32 I40:I41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80"/>
  <sheetViews>
    <sheetView zoomScaleNormal="100" workbookViewId="0"/>
  </sheetViews>
  <sheetFormatPr baseColWidth="10" defaultColWidth="9.08984375" defaultRowHeight="12.5"/>
  <cols>
    <col min="1" max="1" width="5.36328125" style="2" customWidth="1"/>
    <col min="2" max="2" width="21.08984375" style="2" customWidth="1"/>
    <col min="3" max="7" width="21.6328125" style="2" customWidth="1"/>
    <col min="8" max="8" width="23.54296875" style="2" customWidth="1"/>
    <col min="9" max="9" width="5.54296875" style="2" customWidth="1"/>
    <col min="10" max="10" width="9.08984375" style="2" customWidth="1"/>
    <col min="11" max="11" width="16.90625" style="2" customWidth="1"/>
    <col min="12" max="16384" width="9.08984375" style="2"/>
  </cols>
  <sheetData>
    <row r="1" spans="1:9">
      <c r="A1" s="195"/>
      <c r="B1" s="242"/>
      <c r="C1" s="277"/>
      <c r="D1" s="278"/>
      <c r="E1" s="279"/>
      <c r="F1" s="279"/>
      <c r="G1" s="279"/>
      <c r="H1" s="279"/>
      <c r="I1" s="280"/>
    </row>
    <row r="2" spans="1:9" ht="17.5">
      <c r="A2" s="32"/>
      <c r="B2" s="23" t="s">
        <v>588</v>
      </c>
      <c r="C2" s="24"/>
      <c r="D2" s="24"/>
      <c r="E2" s="184"/>
      <c r="F2" s="184"/>
      <c r="G2" s="184"/>
      <c r="H2" s="184"/>
      <c r="I2" s="395"/>
    </row>
    <row r="3" spans="1:9">
      <c r="A3" s="32"/>
      <c r="B3" s="33"/>
      <c r="C3" s="259"/>
      <c r="D3" s="33"/>
      <c r="E3" s="33"/>
      <c r="F3" s="33"/>
      <c r="G3" s="33"/>
      <c r="H3" s="33"/>
      <c r="I3" s="37"/>
    </row>
    <row r="4" spans="1:9" ht="17.5">
      <c r="A4" s="32"/>
      <c r="B4" s="113" t="s">
        <v>55</v>
      </c>
      <c r="C4" s="28"/>
      <c r="D4" s="28"/>
      <c r="E4" s="33"/>
      <c r="F4" s="33"/>
      <c r="G4" s="33"/>
      <c r="H4" s="33"/>
      <c r="I4" s="37"/>
    </row>
    <row r="5" spans="1:9" ht="17.5">
      <c r="A5" s="32"/>
      <c r="B5" s="59"/>
      <c r="C5" s="28"/>
      <c r="D5" s="28"/>
      <c r="E5" s="33"/>
      <c r="F5" s="33"/>
      <c r="G5" s="33"/>
      <c r="H5" s="33"/>
      <c r="I5" s="37"/>
    </row>
    <row r="6" spans="1:9" ht="17.25" customHeight="1">
      <c r="A6" s="32"/>
      <c r="B6" s="60" t="s">
        <v>589</v>
      </c>
      <c r="C6" s="444" t="s">
        <v>667</v>
      </c>
      <c r="D6" s="444"/>
      <c r="E6" s="444"/>
      <c r="F6" s="444"/>
      <c r="G6" s="444"/>
      <c r="H6" s="33"/>
      <c r="I6" s="37"/>
    </row>
    <row r="7" spans="1:9">
      <c r="A7" s="32"/>
      <c r="B7" s="33"/>
      <c r="C7" s="33"/>
      <c r="D7" s="259"/>
      <c r="E7" s="33"/>
      <c r="F7" s="33"/>
      <c r="G7" s="33"/>
      <c r="H7" s="33"/>
      <c r="I7" s="37"/>
    </row>
    <row r="8" spans="1:9" ht="20.149999999999999" customHeight="1">
      <c r="A8" s="32"/>
      <c r="B8" s="259" t="s">
        <v>590</v>
      </c>
      <c r="C8" s="246" t="s">
        <v>591</v>
      </c>
      <c r="D8" s="247" t="s">
        <v>56</v>
      </c>
      <c r="E8" s="247" t="s">
        <v>57</v>
      </c>
      <c r="F8" s="247" t="s">
        <v>58</v>
      </c>
      <c r="G8" s="247" t="s">
        <v>61</v>
      </c>
      <c r="H8" s="33"/>
      <c r="I8" s="37"/>
    </row>
    <row r="9" spans="1:9" ht="12.75" customHeight="1">
      <c r="A9" s="32"/>
      <c r="B9" s="33"/>
      <c r="C9" s="35">
        <v>1</v>
      </c>
      <c r="D9" s="282">
        <v>0</v>
      </c>
      <c r="E9" s="282">
        <v>0</v>
      </c>
      <c r="F9" s="282">
        <v>0</v>
      </c>
      <c r="G9" s="274">
        <f t="shared" ref="G9:G69" si="0">SUM(D9:F9)</f>
        <v>0</v>
      </c>
      <c r="H9" s="33"/>
      <c r="I9" s="37"/>
    </row>
    <row r="10" spans="1:9">
      <c r="A10" s="32"/>
      <c r="B10" s="33"/>
      <c r="C10" s="35">
        <v>2</v>
      </c>
      <c r="D10" s="282">
        <v>0</v>
      </c>
      <c r="E10" s="282">
        <v>0</v>
      </c>
      <c r="F10" s="282">
        <v>0</v>
      </c>
      <c r="G10" s="274">
        <f t="shared" si="0"/>
        <v>0</v>
      </c>
      <c r="H10" s="33"/>
      <c r="I10" s="37"/>
    </row>
    <row r="11" spans="1:9">
      <c r="A11" s="32"/>
      <c r="B11" s="33"/>
      <c r="C11" s="35">
        <v>3</v>
      </c>
      <c r="D11" s="282">
        <v>0</v>
      </c>
      <c r="E11" s="282">
        <v>0</v>
      </c>
      <c r="F11" s="282">
        <v>0</v>
      </c>
      <c r="G11" s="274">
        <f t="shared" si="0"/>
        <v>0</v>
      </c>
      <c r="H11" s="33"/>
      <c r="I11" s="37"/>
    </row>
    <row r="12" spans="1:9">
      <c r="A12" s="32"/>
      <c r="B12" s="33"/>
      <c r="C12" s="35">
        <v>4</v>
      </c>
      <c r="D12" s="282">
        <v>0</v>
      </c>
      <c r="E12" s="282">
        <v>0</v>
      </c>
      <c r="F12" s="282">
        <v>0</v>
      </c>
      <c r="G12" s="274">
        <f t="shared" si="0"/>
        <v>0</v>
      </c>
      <c r="H12" s="33"/>
      <c r="I12" s="37"/>
    </row>
    <row r="13" spans="1:9">
      <c r="A13" s="32"/>
      <c r="B13" s="33"/>
      <c r="C13" s="35">
        <v>5</v>
      </c>
      <c r="D13" s="282">
        <v>0</v>
      </c>
      <c r="E13" s="282">
        <v>0</v>
      </c>
      <c r="F13" s="282">
        <v>0</v>
      </c>
      <c r="G13" s="274">
        <f t="shared" si="0"/>
        <v>0</v>
      </c>
      <c r="H13" s="33"/>
      <c r="I13" s="37"/>
    </row>
    <row r="14" spans="1:9">
      <c r="A14" s="32"/>
      <c r="B14" s="33"/>
      <c r="C14" s="35">
        <v>6</v>
      </c>
      <c r="D14" s="282">
        <v>0</v>
      </c>
      <c r="E14" s="282">
        <v>0</v>
      </c>
      <c r="F14" s="282">
        <v>0</v>
      </c>
      <c r="G14" s="274">
        <f t="shared" si="0"/>
        <v>0</v>
      </c>
      <c r="H14" s="33"/>
      <c r="I14" s="37"/>
    </row>
    <row r="15" spans="1:9">
      <c r="A15" s="32"/>
      <c r="B15" s="33"/>
      <c r="C15" s="35">
        <v>7</v>
      </c>
      <c r="D15" s="282">
        <v>0</v>
      </c>
      <c r="E15" s="282">
        <v>0</v>
      </c>
      <c r="F15" s="282">
        <v>0</v>
      </c>
      <c r="G15" s="274">
        <f t="shared" si="0"/>
        <v>0</v>
      </c>
      <c r="H15" s="33"/>
      <c r="I15" s="37"/>
    </row>
    <row r="16" spans="1:9">
      <c r="A16" s="32"/>
      <c r="B16" s="33"/>
      <c r="C16" s="35">
        <v>8</v>
      </c>
      <c r="D16" s="282">
        <v>0</v>
      </c>
      <c r="E16" s="282">
        <v>0</v>
      </c>
      <c r="F16" s="282">
        <v>0</v>
      </c>
      <c r="G16" s="274">
        <f t="shared" si="0"/>
        <v>0</v>
      </c>
      <c r="H16" s="33"/>
      <c r="I16" s="37"/>
    </row>
    <row r="17" spans="1:9">
      <c r="A17" s="32"/>
      <c r="B17" s="33"/>
      <c r="C17" s="35">
        <v>9</v>
      </c>
      <c r="D17" s="282">
        <v>0</v>
      </c>
      <c r="E17" s="282">
        <v>0</v>
      </c>
      <c r="F17" s="282">
        <v>0</v>
      </c>
      <c r="G17" s="274">
        <f t="shared" si="0"/>
        <v>0</v>
      </c>
      <c r="H17" s="33"/>
      <c r="I17" s="37"/>
    </row>
    <row r="18" spans="1:9">
      <c r="A18" s="32"/>
      <c r="B18" s="33"/>
      <c r="C18" s="35">
        <v>10</v>
      </c>
      <c r="D18" s="282">
        <v>0</v>
      </c>
      <c r="E18" s="282">
        <v>0</v>
      </c>
      <c r="F18" s="282">
        <v>0</v>
      </c>
      <c r="G18" s="274">
        <f t="shared" si="0"/>
        <v>0</v>
      </c>
      <c r="H18" s="33"/>
      <c r="I18" s="37"/>
    </row>
    <row r="19" spans="1:9" ht="12.75" customHeight="1">
      <c r="A19" s="32"/>
      <c r="B19" s="33"/>
      <c r="C19" s="35">
        <v>11</v>
      </c>
      <c r="D19" s="282">
        <v>0</v>
      </c>
      <c r="E19" s="282">
        <v>0</v>
      </c>
      <c r="F19" s="282">
        <v>0</v>
      </c>
      <c r="G19" s="274">
        <f t="shared" si="0"/>
        <v>0</v>
      </c>
      <c r="H19" s="33"/>
      <c r="I19" s="37"/>
    </row>
    <row r="20" spans="1:9">
      <c r="A20" s="32"/>
      <c r="B20" s="33"/>
      <c r="C20" s="35">
        <v>12</v>
      </c>
      <c r="D20" s="282">
        <v>0</v>
      </c>
      <c r="E20" s="282">
        <v>0</v>
      </c>
      <c r="F20" s="282">
        <v>0</v>
      </c>
      <c r="G20" s="274">
        <f t="shared" si="0"/>
        <v>0</v>
      </c>
      <c r="H20" s="33"/>
      <c r="I20" s="37"/>
    </row>
    <row r="21" spans="1:9">
      <c r="A21" s="32"/>
      <c r="B21" s="33"/>
      <c r="C21" s="35">
        <v>13</v>
      </c>
      <c r="D21" s="282">
        <v>0</v>
      </c>
      <c r="E21" s="282">
        <v>0</v>
      </c>
      <c r="F21" s="282">
        <v>0</v>
      </c>
      <c r="G21" s="274">
        <f t="shared" si="0"/>
        <v>0</v>
      </c>
      <c r="H21" s="33"/>
      <c r="I21" s="37"/>
    </row>
    <row r="22" spans="1:9">
      <c r="A22" s="32"/>
      <c r="B22" s="33"/>
      <c r="C22" s="35">
        <v>14</v>
      </c>
      <c r="D22" s="282">
        <v>0</v>
      </c>
      <c r="E22" s="282">
        <v>0</v>
      </c>
      <c r="F22" s="282">
        <v>0</v>
      </c>
      <c r="G22" s="274">
        <f t="shared" si="0"/>
        <v>0</v>
      </c>
      <c r="H22" s="33"/>
      <c r="I22" s="37"/>
    </row>
    <row r="23" spans="1:9">
      <c r="A23" s="32"/>
      <c r="B23" s="33"/>
      <c r="C23" s="35">
        <v>15</v>
      </c>
      <c r="D23" s="282">
        <v>0</v>
      </c>
      <c r="E23" s="282">
        <v>0</v>
      </c>
      <c r="F23" s="282">
        <v>0</v>
      </c>
      <c r="G23" s="274">
        <f t="shared" si="0"/>
        <v>0</v>
      </c>
      <c r="H23" s="33"/>
      <c r="I23" s="37"/>
    </row>
    <row r="24" spans="1:9">
      <c r="A24" s="32"/>
      <c r="B24" s="33"/>
      <c r="C24" s="35">
        <v>16</v>
      </c>
      <c r="D24" s="282">
        <v>0</v>
      </c>
      <c r="E24" s="282">
        <v>0</v>
      </c>
      <c r="F24" s="282">
        <v>0</v>
      </c>
      <c r="G24" s="274">
        <f t="shared" si="0"/>
        <v>0</v>
      </c>
      <c r="H24" s="33"/>
      <c r="I24" s="37"/>
    </row>
    <row r="25" spans="1:9">
      <c r="A25" s="32"/>
      <c r="B25" s="33"/>
      <c r="C25" s="35">
        <v>17</v>
      </c>
      <c r="D25" s="282">
        <v>0</v>
      </c>
      <c r="E25" s="282">
        <v>0</v>
      </c>
      <c r="F25" s="282">
        <v>0</v>
      </c>
      <c r="G25" s="274">
        <f t="shared" si="0"/>
        <v>0</v>
      </c>
      <c r="H25" s="33"/>
      <c r="I25" s="37"/>
    </row>
    <row r="26" spans="1:9">
      <c r="A26" s="32"/>
      <c r="B26" s="33"/>
      <c r="C26" s="35">
        <v>18</v>
      </c>
      <c r="D26" s="282">
        <v>0</v>
      </c>
      <c r="E26" s="282">
        <v>0</v>
      </c>
      <c r="F26" s="282">
        <v>0</v>
      </c>
      <c r="G26" s="274">
        <f t="shared" si="0"/>
        <v>0</v>
      </c>
      <c r="H26" s="33"/>
      <c r="I26" s="37"/>
    </row>
    <row r="27" spans="1:9">
      <c r="A27" s="32"/>
      <c r="B27" s="33"/>
      <c r="C27" s="35">
        <v>19</v>
      </c>
      <c r="D27" s="282">
        <v>0</v>
      </c>
      <c r="E27" s="282">
        <v>0</v>
      </c>
      <c r="F27" s="282">
        <v>0</v>
      </c>
      <c r="G27" s="274">
        <f t="shared" si="0"/>
        <v>0</v>
      </c>
      <c r="H27" s="33"/>
      <c r="I27" s="37"/>
    </row>
    <row r="28" spans="1:9">
      <c r="A28" s="32"/>
      <c r="B28" s="33"/>
      <c r="C28" s="35">
        <v>20</v>
      </c>
      <c r="D28" s="282">
        <v>0</v>
      </c>
      <c r="E28" s="282">
        <v>0</v>
      </c>
      <c r="F28" s="282">
        <v>0</v>
      </c>
      <c r="G28" s="274">
        <f t="shared" si="0"/>
        <v>0</v>
      </c>
      <c r="H28" s="33"/>
      <c r="I28" s="37"/>
    </row>
    <row r="29" spans="1:9">
      <c r="A29" s="32"/>
      <c r="B29" s="33"/>
      <c r="C29" s="35">
        <v>21</v>
      </c>
      <c r="D29" s="282">
        <v>0</v>
      </c>
      <c r="E29" s="282">
        <v>0</v>
      </c>
      <c r="F29" s="282">
        <v>0</v>
      </c>
      <c r="G29" s="274">
        <f t="shared" si="0"/>
        <v>0</v>
      </c>
      <c r="H29" s="33"/>
      <c r="I29" s="37"/>
    </row>
    <row r="30" spans="1:9">
      <c r="A30" s="32"/>
      <c r="B30" s="33"/>
      <c r="C30" s="35">
        <v>22</v>
      </c>
      <c r="D30" s="282">
        <v>0</v>
      </c>
      <c r="E30" s="282">
        <v>0</v>
      </c>
      <c r="F30" s="282">
        <v>0</v>
      </c>
      <c r="G30" s="274">
        <f t="shared" si="0"/>
        <v>0</v>
      </c>
      <c r="H30" s="33"/>
      <c r="I30" s="37"/>
    </row>
    <row r="31" spans="1:9">
      <c r="A31" s="32"/>
      <c r="B31" s="33"/>
      <c r="C31" s="35">
        <v>23</v>
      </c>
      <c r="D31" s="282">
        <v>0</v>
      </c>
      <c r="E31" s="282">
        <v>0</v>
      </c>
      <c r="F31" s="282">
        <v>0</v>
      </c>
      <c r="G31" s="274">
        <f t="shared" si="0"/>
        <v>0</v>
      </c>
      <c r="H31" s="33"/>
      <c r="I31" s="37"/>
    </row>
    <row r="32" spans="1:9">
      <c r="A32" s="32"/>
      <c r="B32" s="33"/>
      <c r="C32" s="35">
        <v>24</v>
      </c>
      <c r="D32" s="282">
        <v>0</v>
      </c>
      <c r="E32" s="282">
        <v>0</v>
      </c>
      <c r="F32" s="282">
        <v>0</v>
      </c>
      <c r="G32" s="274">
        <f t="shared" si="0"/>
        <v>0</v>
      </c>
      <c r="H32" s="33"/>
      <c r="I32" s="37"/>
    </row>
    <row r="33" spans="1:9">
      <c r="A33" s="32"/>
      <c r="B33" s="33"/>
      <c r="C33" s="35">
        <v>25</v>
      </c>
      <c r="D33" s="282">
        <v>0</v>
      </c>
      <c r="E33" s="282">
        <v>0</v>
      </c>
      <c r="F33" s="282">
        <v>0</v>
      </c>
      <c r="G33" s="274">
        <f t="shared" si="0"/>
        <v>0</v>
      </c>
      <c r="H33" s="33"/>
      <c r="I33" s="37"/>
    </row>
    <row r="34" spans="1:9">
      <c r="A34" s="32"/>
      <c r="B34" s="33"/>
      <c r="C34" s="35">
        <v>26</v>
      </c>
      <c r="D34" s="282">
        <v>0</v>
      </c>
      <c r="E34" s="282">
        <v>0</v>
      </c>
      <c r="F34" s="282">
        <v>0</v>
      </c>
      <c r="G34" s="274">
        <f t="shared" si="0"/>
        <v>0</v>
      </c>
      <c r="H34" s="33"/>
      <c r="I34" s="37"/>
    </row>
    <row r="35" spans="1:9">
      <c r="A35" s="32"/>
      <c r="B35" s="33"/>
      <c r="C35" s="35">
        <v>27</v>
      </c>
      <c r="D35" s="282">
        <v>0</v>
      </c>
      <c r="E35" s="282">
        <v>0</v>
      </c>
      <c r="F35" s="282">
        <v>0</v>
      </c>
      <c r="G35" s="274">
        <f t="shared" si="0"/>
        <v>0</v>
      </c>
      <c r="H35" s="33"/>
      <c r="I35" s="37"/>
    </row>
    <row r="36" spans="1:9">
      <c r="A36" s="32"/>
      <c r="B36" s="33"/>
      <c r="C36" s="35">
        <v>28</v>
      </c>
      <c r="D36" s="282">
        <v>0</v>
      </c>
      <c r="E36" s="282">
        <v>0</v>
      </c>
      <c r="F36" s="282">
        <v>0</v>
      </c>
      <c r="G36" s="274">
        <f t="shared" si="0"/>
        <v>0</v>
      </c>
      <c r="H36" s="33"/>
      <c r="I36" s="37"/>
    </row>
    <row r="37" spans="1:9">
      <c r="A37" s="32"/>
      <c r="B37" s="33"/>
      <c r="C37" s="35">
        <v>29</v>
      </c>
      <c r="D37" s="282">
        <v>0</v>
      </c>
      <c r="E37" s="282">
        <v>0</v>
      </c>
      <c r="F37" s="282">
        <v>0</v>
      </c>
      <c r="G37" s="274">
        <f t="shared" si="0"/>
        <v>0</v>
      </c>
      <c r="H37" s="33"/>
      <c r="I37" s="37"/>
    </row>
    <row r="38" spans="1:9">
      <c r="A38" s="32"/>
      <c r="B38" s="33"/>
      <c r="C38" s="35">
        <v>30</v>
      </c>
      <c r="D38" s="282">
        <v>0</v>
      </c>
      <c r="E38" s="282">
        <v>0</v>
      </c>
      <c r="F38" s="282">
        <v>0</v>
      </c>
      <c r="G38" s="274">
        <f t="shared" si="0"/>
        <v>0</v>
      </c>
      <c r="H38" s="33"/>
      <c r="I38" s="37"/>
    </row>
    <row r="39" spans="1:9">
      <c r="A39" s="32"/>
      <c r="B39" s="33"/>
      <c r="C39" s="35">
        <v>31</v>
      </c>
      <c r="D39" s="282">
        <v>0</v>
      </c>
      <c r="E39" s="282">
        <v>0</v>
      </c>
      <c r="F39" s="282">
        <v>0</v>
      </c>
      <c r="G39" s="274">
        <f t="shared" si="0"/>
        <v>0</v>
      </c>
      <c r="H39" s="33"/>
      <c r="I39" s="37"/>
    </row>
    <row r="40" spans="1:9">
      <c r="A40" s="32"/>
      <c r="B40" s="33"/>
      <c r="C40" s="35">
        <v>32</v>
      </c>
      <c r="D40" s="282">
        <v>0</v>
      </c>
      <c r="E40" s="282">
        <v>0</v>
      </c>
      <c r="F40" s="282">
        <v>0</v>
      </c>
      <c r="G40" s="274">
        <f t="shared" si="0"/>
        <v>0</v>
      </c>
      <c r="H40" s="33"/>
      <c r="I40" s="37"/>
    </row>
    <row r="41" spans="1:9">
      <c r="A41" s="32"/>
      <c r="B41" s="33"/>
      <c r="C41" s="35">
        <v>33</v>
      </c>
      <c r="D41" s="282">
        <v>0</v>
      </c>
      <c r="E41" s="282">
        <v>0</v>
      </c>
      <c r="F41" s="282">
        <v>0</v>
      </c>
      <c r="G41" s="274">
        <f t="shared" si="0"/>
        <v>0</v>
      </c>
      <c r="H41" s="33"/>
      <c r="I41" s="37"/>
    </row>
    <row r="42" spans="1:9">
      <c r="A42" s="32"/>
      <c r="B42" s="33"/>
      <c r="C42" s="35">
        <v>34</v>
      </c>
      <c r="D42" s="282">
        <v>0</v>
      </c>
      <c r="E42" s="282">
        <v>0</v>
      </c>
      <c r="F42" s="282">
        <v>0</v>
      </c>
      <c r="G42" s="274">
        <f t="shared" si="0"/>
        <v>0</v>
      </c>
      <c r="H42" s="33"/>
      <c r="I42" s="37"/>
    </row>
    <row r="43" spans="1:9">
      <c r="A43" s="32"/>
      <c r="B43" s="33"/>
      <c r="C43" s="35">
        <v>35</v>
      </c>
      <c r="D43" s="282">
        <v>0</v>
      </c>
      <c r="E43" s="282">
        <v>0</v>
      </c>
      <c r="F43" s="282">
        <v>0</v>
      </c>
      <c r="G43" s="274">
        <f t="shared" si="0"/>
        <v>0</v>
      </c>
      <c r="H43" s="33"/>
      <c r="I43" s="37"/>
    </row>
    <row r="44" spans="1:9">
      <c r="A44" s="32"/>
      <c r="B44" s="33"/>
      <c r="C44" s="35">
        <v>36</v>
      </c>
      <c r="D44" s="282">
        <v>0</v>
      </c>
      <c r="E44" s="282">
        <v>0</v>
      </c>
      <c r="F44" s="282">
        <v>0</v>
      </c>
      <c r="G44" s="274">
        <f t="shared" si="0"/>
        <v>0</v>
      </c>
      <c r="H44" s="33"/>
      <c r="I44" s="37"/>
    </row>
    <row r="45" spans="1:9">
      <c r="A45" s="32"/>
      <c r="B45" s="33"/>
      <c r="C45" s="35">
        <v>37</v>
      </c>
      <c r="D45" s="282">
        <v>0</v>
      </c>
      <c r="E45" s="282">
        <v>0</v>
      </c>
      <c r="F45" s="282">
        <v>0</v>
      </c>
      <c r="G45" s="274">
        <f t="shared" si="0"/>
        <v>0</v>
      </c>
      <c r="H45" s="33"/>
      <c r="I45" s="37"/>
    </row>
    <row r="46" spans="1:9">
      <c r="A46" s="32"/>
      <c r="B46" s="33"/>
      <c r="C46" s="35">
        <v>38</v>
      </c>
      <c r="D46" s="282">
        <v>0</v>
      </c>
      <c r="E46" s="282">
        <v>0</v>
      </c>
      <c r="F46" s="282">
        <v>0</v>
      </c>
      <c r="G46" s="274">
        <f t="shared" si="0"/>
        <v>0</v>
      </c>
      <c r="H46" s="33"/>
      <c r="I46" s="37"/>
    </row>
    <row r="47" spans="1:9">
      <c r="A47" s="32"/>
      <c r="B47" s="33"/>
      <c r="C47" s="35">
        <v>39</v>
      </c>
      <c r="D47" s="282">
        <v>0</v>
      </c>
      <c r="E47" s="282">
        <v>0</v>
      </c>
      <c r="F47" s="282">
        <v>0</v>
      </c>
      <c r="G47" s="274">
        <f t="shared" si="0"/>
        <v>0</v>
      </c>
      <c r="H47" s="33"/>
      <c r="I47" s="37"/>
    </row>
    <row r="48" spans="1:9">
      <c r="A48" s="32"/>
      <c r="B48" s="33"/>
      <c r="C48" s="35">
        <v>40</v>
      </c>
      <c r="D48" s="282">
        <v>0</v>
      </c>
      <c r="E48" s="282">
        <v>0</v>
      </c>
      <c r="F48" s="282">
        <v>0</v>
      </c>
      <c r="G48" s="274">
        <f t="shared" si="0"/>
        <v>0</v>
      </c>
      <c r="H48" s="33"/>
      <c r="I48" s="37"/>
    </row>
    <row r="49" spans="1:9">
      <c r="A49" s="32"/>
      <c r="B49" s="33"/>
      <c r="C49" s="35">
        <v>41</v>
      </c>
      <c r="D49" s="282">
        <v>0</v>
      </c>
      <c r="E49" s="282">
        <v>0</v>
      </c>
      <c r="F49" s="282">
        <v>0</v>
      </c>
      <c r="G49" s="274">
        <f t="shared" si="0"/>
        <v>0</v>
      </c>
      <c r="H49" s="33"/>
      <c r="I49" s="37"/>
    </row>
    <row r="50" spans="1:9">
      <c r="A50" s="32"/>
      <c r="B50" s="33"/>
      <c r="C50" s="35">
        <v>42</v>
      </c>
      <c r="D50" s="282">
        <v>0</v>
      </c>
      <c r="E50" s="282">
        <v>0</v>
      </c>
      <c r="F50" s="282">
        <v>0</v>
      </c>
      <c r="G50" s="274">
        <f t="shared" si="0"/>
        <v>0</v>
      </c>
      <c r="H50" s="33"/>
      <c r="I50" s="37"/>
    </row>
    <row r="51" spans="1:9">
      <c r="A51" s="32"/>
      <c r="B51" s="33"/>
      <c r="C51" s="35">
        <v>43</v>
      </c>
      <c r="D51" s="282">
        <v>0</v>
      </c>
      <c r="E51" s="282">
        <v>0</v>
      </c>
      <c r="F51" s="282">
        <v>0</v>
      </c>
      <c r="G51" s="274">
        <f t="shared" si="0"/>
        <v>0</v>
      </c>
      <c r="H51" s="33"/>
      <c r="I51" s="37"/>
    </row>
    <row r="52" spans="1:9">
      <c r="A52" s="32"/>
      <c r="B52" s="33"/>
      <c r="C52" s="35">
        <v>44</v>
      </c>
      <c r="D52" s="282">
        <v>0</v>
      </c>
      <c r="E52" s="282">
        <v>0</v>
      </c>
      <c r="F52" s="282">
        <v>0</v>
      </c>
      <c r="G52" s="274">
        <f t="shared" si="0"/>
        <v>0</v>
      </c>
      <c r="H52" s="33"/>
      <c r="I52" s="37"/>
    </row>
    <row r="53" spans="1:9">
      <c r="A53" s="32"/>
      <c r="B53" s="33"/>
      <c r="C53" s="35">
        <v>45</v>
      </c>
      <c r="D53" s="282">
        <v>0</v>
      </c>
      <c r="E53" s="282">
        <v>0</v>
      </c>
      <c r="F53" s="282">
        <v>0</v>
      </c>
      <c r="G53" s="274">
        <f t="shared" si="0"/>
        <v>0</v>
      </c>
      <c r="H53" s="33"/>
      <c r="I53" s="37"/>
    </row>
    <row r="54" spans="1:9">
      <c r="A54" s="32"/>
      <c r="B54" s="33"/>
      <c r="C54" s="35">
        <v>46</v>
      </c>
      <c r="D54" s="282">
        <v>0</v>
      </c>
      <c r="E54" s="282">
        <v>0</v>
      </c>
      <c r="F54" s="282">
        <v>0</v>
      </c>
      <c r="G54" s="274">
        <f t="shared" si="0"/>
        <v>0</v>
      </c>
      <c r="H54" s="33"/>
      <c r="I54" s="37"/>
    </row>
    <row r="55" spans="1:9">
      <c r="A55" s="32"/>
      <c r="B55" s="33"/>
      <c r="C55" s="35">
        <v>47</v>
      </c>
      <c r="D55" s="282">
        <v>0</v>
      </c>
      <c r="E55" s="282">
        <v>0</v>
      </c>
      <c r="F55" s="282">
        <v>0</v>
      </c>
      <c r="G55" s="274">
        <f t="shared" si="0"/>
        <v>0</v>
      </c>
      <c r="H55" s="33"/>
      <c r="I55" s="37"/>
    </row>
    <row r="56" spans="1:9">
      <c r="A56" s="32"/>
      <c r="B56" s="33"/>
      <c r="C56" s="35">
        <v>48</v>
      </c>
      <c r="D56" s="282">
        <v>0</v>
      </c>
      <c r="E56" s="282">
        <v>0</v>
      </c>
      <c r="F56" s="282">
        <v>0</v>
      </c>
      <c r="G56" s="274">
        <f t="shared" si="0"/>
        <v>0</v>
      </c>
      <c r="H56" s="33"/>
      <c r="I56" s="37"/>
    </row>
    <row r="57" spans="1:9">
      <c r="A57" s="32"/>
      <c r="B57" s="33"/>
      <c r="C57" s="35">
        <v>49</v>
      </c>
      <c r="D57" s="282">
        <v>0</v>
      </c>
      <c r="E57" s="282">
        <v>0</v>
      </c>
      <c r="F57" s="282">
        <v>0</v>
      </c>
      <c r="G57" s="274">
        <f t="shared" si="0"/>
        <v>0</v>
      </c>
      <c r="H57" s="33"/>
      <c r="I57" s="37"/>
    </row>
    <row r="58" spans="1:9">
      <c r="A58" s="32"/>
      <c r="B58" s="33"/>
      <c r="C58" s="35">
        <v>50</v>
      </c>
      <c r="D58" s="282">
        <v>0</v>
      </c>
      <c r="E58" s="282">
        <v>0</v>
      </c>
      <c r="F58" s="282">
        <v>0</v>
      </c>
      <c r="G58" s="274">
        <f t="shared" si="0"/>
        <v>0</v>
      </c>
      <c r="H58" s="33"/>
      <c r="I58" s="37"/>
    </row>
    <row r="59" spans="1:9">
      <c r="A59" s="32"/>
      <c r="B59" s="33"/>
      <c r="C59" s="35">
        <v>51</v>
      </c>
      <c r="D59" s="282">
        <v>0</v>
      </c>
      <c r="E59" s="282">
        <v>0</v>
      </c>
      <c r="F59" s="282">
        <v>0</v>
      </c>
      <c r="G59" s="274">
        <f t="shared" si="0"/>
        <v>0</v>
      </c>
      <c r="H59" s="33"/>
      <c r="I59" s="37"/>
    </row>
    <row r="60" spans="1:9">
      <c r="A60" s="32"/>
      <c r="B60" s="33"/>
      <c r="C60" s="35">
        <v>52</v>
      </c>
      <c r="D60" s="282">
        <v>0</v>
      </c>
      <c r="E60" s="282">
        <v>0</v>
      </c>
      <c r="F60" s="282">
        <v>0</v>
      </c>
      <c r="G60" s="274">
        <f t="shared" si="0"/>
        <v>0</v>
      </c>
      <c r="H60" s="33"/>
      <c r="I60" s="37"/>
    </row>
    <row r="61" spans="1:9">
      <c r="A61" s="32"/>
      <c r="B61" s="33"/>
      <c r="C61" s="35">
        <v>53</v>
      </c>
      <c r="D61" s="282">
        <v>0</v>
      </c>
      <c r="E61" s="282">
        <v>0</v>
      </c>
      <c r="F61" s="282">
        <v>0</v>
      </c>
      <c r="G61" s="274">
        <f t="shared" si="0"/>
        <v>0</v>
      </c>
      <c r="H61" s="33"/>
      <c r="I61" s="37"/>
    </row>
    <row r="62" spans="1:9">
      <c r="A62" s="32"/>
      <c r="B62" s="33"/>
      <c r="C62" s="35">
        <v>54</v>
      </c>
      <c r="D62" s="282">
        <v>0</v>
      </c>
      <c r="E62" s="282">
        <v>0</v>
      </c>
      <c r="F62" s="282">
        <v>0</v>
      </c>
      <c r="G62" s="274">
        <f t="shared" si="0"/>
        <v>0</v>
      </c>
      <c r="H62" s="33"/>
      <c r="I62" s="37"/>
    </row>
    <row r="63" spans="1:9">
      <c r="A63" s="32"/>
      <c r="B63" s="33"/>
      <c r="C63" s="35">
        <v>55</v>
      </c>
      <c r="D63" s="282">
        <v>0</v>
      </c>
      <c r="E63" s="282">
        <v>0</v>
      </c>
      <c r="F63" s="282">
        <v>0</v>
      </c>
      <c r="G63" s="274">
        <f t="shared" si="0"/>
        <v>0</v>
      </c>
      <c r="H63" s="33"/>
      <c r="I63" s="37"/>
    </row>
    <row r="64" spans="1:9">
      <c r="A64" s="32"/>
      <c r="B64" s="33"/>
      <c r="C64" s="35">
        <v>56</v>
      </c>
      <c r="D64" s="282">
        <v>0</v>
      </c>
      <c r="E64" s="282">
        <v>0</v>
      </c>
      <c r="F64" s="282">
        <v>0</v>
      </c>
      <c r="G64" s="274">
        <f t="shared" si="0"/>
        <v>0</v>
      </c>
      <c r="H64" s="33"/>
      <c r="I64" s="37"/>
    </row>
    <row r="65" spans="1:9">
      <c r="A65" s="32"/>
      <c r="B65" s="33"/>
      <c r="C65" s="35">
        <v>57</v>
      </c>
      <c r="D65" s="282">
        <v>0</v>
      </c>
      <c r="E65" s="282">
        <v>0</v>
      </c>
      <c r="F65" s="282">
        <v>0</v>
      </c>
      <c r="G65" s="274">
        <f t="shared" si="0"/>
        <v>0</v>
      </c>
      <c r="H65" s="33"/>
      <c r="I65" s="37"/>
    </row>
    <row r="66" spans="1:9">
      <c r="A66" s="32"/>
      <c r="B66" s="33"/>
      <c r="C66" s="35">
        <v>58</v>
      </c>
      <c r="D66" s="282">
        <v>0</v>
      </c>
      <c r="E66" s="282">
        <v>0</v>
      </c>
      <c r="F66" s="282">
        <v>0</v>
      </c>
      <c r="G66" s="274">
        <f t="shared" si="0"/>
        <v>0</v>
      </c>
      <c r="H66" s="33"/>
      <c r="I66" s="37"/>
    </row>
    <row r="67" spans="1:9">
      <c r="A67" s="32"/>
      <c r="B67" s="33"/>
      <c r="C67" s="35">
        <v>59</v>
      </c>
      <c r="D67" s="282">
        <v>0</v>
      </c>
      <c r="E67" s="282">
        <v>0</v>
      </c>
      <c r="F67" s="282">
        <v>0</v>
      </c>
      <c r="G67" s="274">
        <f t="shared" si="0"/>
        <v>0</v>
      </c>
      <c r="H67" s="33"/>
      <c r="I67" s="37"/>
    </row>
    <row r="68" spans="1:9">
      <c r="A68" s="32"/>
      <c r="B68" s="33"/>
      <c r="C68" s="35">
        <v>60</v>
      </c>
      <c r="D68" s="282">
        <v>0</v>
      </c>
      <c r="E68" s="282">
        <v>0</v>
      </c>
      <c r="F68" s="282">
        <v>0</v>
      </c>
      <c r="G68" s="274">
        <f t="shared" si="0"/>
        <v>0</v>
      </c>
      <c r="H68" s="33"/>
      <c r="I68" s="37"/>
    </row>
    <row r="69" spans="1:9" ht="15.9" customHeight="1">
      <c r="A69" s="32"/>
      <c r="B69" s="259" t="s">
        <v>592</v>
      </c>
      <c r="C69" s="259"/>
      <c r="D69" s="396">
        <f>SUM(D9:D68)</f>
        <v>0</v>
      </c>
      <c r="E69" s="396">
        <f>SUM(E9:E68)</f>
        <v>0</v>
      </c>
      <c r="F69" s="396">
        <f>SUM(F9:F68)</f>
        <v>0</v>
      </c>
      <c r="G69" s="396">
        <f t="shared" si="0"/>
        <v>0</v>
      </c>
      <c r="H69" s="33"/>
      <c r="I69" s="37"/>
    </row>
    <row r="70" spans="1:9" ht="12.75" customHeight="1">
      <c r="A70" s="32"/>
      <c r="B70" s="33" t="s">
        <v>593</v>
      </c>
      <c r="C70" s="196">
        <f>SUM(D70:F70)</f>
        <v>0</v>
      </c>
      <c r="D70" s="264">
        <f>IF(D69=0,0,1)</f>
        <v>0</v>
      </c>
      <c r="E70" s="264">
        <f>IF(E69=0,0,1)</f>
        <v>0</v>
      </c>
      <c r="F70" s="264">
        <f>IF(F69=0,0,1)</f>
        <v>0</v>
      </c>
      <c r="G70" s="33"/>
      <c r="H70" s="33"/>
      <c r="I70" s="37"/>
    </row>
    <row r="71" spans="1:9" ht="17.25" customHeight="1">
      <c r="A71" s="32"/>
      <c r="B71" s="33"/>
      <c r="C71" s="196"/>
      <c r="D71" s="274">
        <f>Markedsrisiko!H7</f>
        <v>0</v>
      </c>
      <c r="E71" s="274">
        <f>Markedsrisiko!I7</f>
        <v>0</v>
      </c>
      <c r="F71" s="274">
        <f>Markedsrisiko!J7</f>
        <v>0</v>
      </c>
      <c r="G71" s="33"/>
      <c r="H71" s="33"/>
      <c r="I71" s="37"/>
    </row>
    <row r="72" spans="1:9">
      <c r="A72" s="32"/>
      <c r="B72" s="33"/>
      <c r="C72" s="33"/>
      <c r="D72" s="259"/>
      <c r="E72" s="33"/>
      <c r="F72" s="33"/>
      <c r="G72" s="33"/>
      <c r="H72" s="33"/>
      <c r="I72" s="37"/>
    </row>
    <row r="73" spans="1:9">
      <c r="A73" s="32"/>
      <c r="B73" s="33"/>
      <c r="C73" s="33"/>
      <c r="D73" s="259"/>
      <c r="E73" s="33"/>
      <c r="F73" s="33"/>
      <c r="G73" s="33"/>
      <c r="H73" s="33"/>
      <c r="I73" s="37"/>
    </row>
    <row r="74" spans="1:9" ht="13">
      <c r="A74" s="32"/>
      <c r="B74" s="30" t="s">
        <v>594</v>
      </c>
      <c r="C74" s="30" t="s">
        <v>595</v>
      </c>
      <c r="D74" s="33"/>
      <c r="E74" s="33"/>
      <c r="F74" s="33"/>
      <c r="G74" s="33"/>
      <c r="H74" s="33"/>
      <c r="I74" s="37"/>
    </row>
    <row r="75" spans="1:9">
      <c r="A75" s="32"/>
      <c r="B75" s="33"/>
      <c r="C75" s="33"/>
      <c r="D75" s="259"/>
      <c r="E75" s="33"/>
      <c r="F75" s="33"/>
      <c r="G75" s="33"/>
      <c r="H75" s="33"/>
      <c r="I75" s="37"/>
    </row>
    <row r="76" spans="1:9" ht="20.149999999999999" customHeight="1">
      <c r="A76" s="32"/>
      <c r="B76" s="259" t="s">
        <v>596</v>
      </c>
      <c r="C76" s="246" t="s">
        <v>591</v>
      </c>
      <c r="D76" s="247" t="s">
        <v>56</v>
      </c>
      <c r="E76" s="247" t="s">
        <v>57</v>
      </c>
      <c r="F76" s="247" t="s">
        <v>58</v>
      </c>
      <c r="G76" s="33"/>
      <c r="H76" s="33"/>
      <c r="I76" s="37"/>
    </row>
    <row r="77" spans="1:9" ht="12.75" customHeight="1">
      <c r="A77" s="32"/>
      <c r="B77" s="65"/>
      <c r="C77" s="35">
        <v>1</v>
      </c>
      <c r="D77" s="282">
        <v>0</v>
      </c>
      <c r="E77" s="282">
        <v>0</v>
      </c>
      <c r="F77" s="282">
        <v>0</v>
      </c>
      <c r="G77" s="33"/>
      <c r="H77" s="33"/>
      <c r="I77" s="37"/>
    </row>
    <row r="78" spans="1:9" ht="12.75" customHeight="1">
      <c r="A78" s="32"/>
      <c r="B78" s="33"/>
      <c r="C78" s="35">
        <v>2</v>
      </c>
      <c r="D78" s="282">
        <v>0</v>
      </c>
      <c r="E78" s="282">
        <v>0</v>
      </c>
      <c r="F78" s="282">
        <v>0</v>
      </c>
      <c r="G78" s="33"/>
      <c r="H78" s="33"/>
      <c r="I78" s="37"/>
    </row>
    <row r="79" spans="1:9" ht="12.75" customHeight="1">
      <c r="A79" s="32"/>
      <c r="B79" s="33"/>
      <c r="C79" s="35">
        <v>3</v>
      </c>
      <c r="D79" s="282">
        <v>0</v>
      </c>
      <c r="E79" s="282">
        <v>0</v>
      </c>
      <c r="F79" s="282">
        <v>0</v>
      </c>
      <c r="G79" s="33"/>
      <c r="H79" s="33"/>
      <c r="I79" s="37"/>
    </row>
    <row r="80" spans="1:9" ht="12.75" customHeight="1">
      <c r="A80" s="32"/>
      <c r="B80" s="33"/>
      <c r="C80" s="35">
        <v>4</v>
      </c>
      <c r="D80" s="282">
        <v>0</v>
      </c>
      <c r="E80" s="282">
        <v>0</v>
      </c>
      <c r="F80" s="282">
        <v>0</v>
      </c>
      <c r="G80" s="33"/>
      <c r="H80" s="33"/>
      <c r="I80" s="37"/>
    </row>
    <row r="81" spans="1:9" ht="12.75" customHeight="1">
      <c r="A81" s="32"/>
      <c r="B81" s="33"/>
      <c r="C81" s="35">
        <v>5</v>
      </c>
      <c r="D81" s="282">
        <v>0</v>
      </c>
      <c r="E81" s="282">
        <v>0</v>
      </c>
      <c r="F81" s="282">
        <v>0</v>
      </c>
      <c r="G81" s="33"/>
      <c r="H81" s="33"/>
      <c r="I81" s="37"/>
    </row>
    <row r="82" spans="1:9" ht="12.75" customHeight="1">
      <c r="A82" s="32"/>
      <c r="B82" s="33"/>
      <c r="C82" s="35">
        <v>6</v>
      </c>
      <c r="D82" s="282">
        <v>0</v>
      </c>
      <c r="E82" s="282">
        <v>0</v>
      </c>
      <c r="F82" s="282">
        <v>0</v>
      </c>
      <c r="G82" s="33"/>
      <c r="H82" s="33"/>
      <c r="I82" s="37"/>
    </row>
    <row r="83" spans="1:9" ht="12.75" customHeight="1">
      <c r="A83" s="32"/>
      <c r="B83" s="33"/>
      <c r="C83" s="35">
        <v>7</v>
      </c>
      <c r="D83" s="282">
        <v>0</v>
      </c>
      <c r="E83" s="282">
        <v>0</v>
      </c>
      <c r="F83" s="282">
        <v>0</v>
      </c>
      <c r="G83" s="33"/>
      <c r="H83" s="33"/>
      <c r="I83" s="37"/>
    </row>
    <row r="84" spans="1:9" ht="12.75" customHeight="1">
      <c r="A84" s="32"/>
      <c r="B84" s="33"/>
      <c r="C84" s="35">
        <v>8</v>
      </c>
      <c r="D84" s="282">
        <v>0</v>
      </c>
      <c r="E84" s="282">
        <v>0</v>
      </c>
      <c r="F84" s="282">
        <v>0</v>
      </c>
      <c r="G84" s="33"/>
      <c r="H84" s="33"/>
      <c r="I84" s="37"/>
    </row>
    <row r="85" spans="1:9" ht="12.75" customHeight="1">
      <c r="A85" s="32"/>
      <c r="B85" s="33"/>
      <c r="C85" s="35">
        <v>9</v>
      </c>
      <c r="D85" s="282">
        <v>0</v>
      </c>
      <c r="E85" s="282">
        <v>0</v>
      </c>
      <c r="F85" s="282">
        <v>0</v>
      </c>
      <c r="G85" s="33"/>
      <c r="H85" s="33"/>
      <c r="I85" s="37"/>
    </row>
    <row r="86" spans="1:9" ht="12.75" customHeight="1">
      <c r="A86" s="32"/>
      <c r="B86" s="33"/>
      <c r="C86" s="35">
        <v>10</v>
      </c>
      <c r="D86" s="282">
        <v>0</v>
      </c>
      <c r="E86" s="282">
        <v>0</v>
      </c>
      <c r="F86" s="282">
        <v>0</v>
      </c>
      <c r="G86" s="33"/>
      <c r="H86" s="33"/>
      <c r="I86" s="37"/>
    </row>
    <row r="87" spans="1:9" ht="12.75" customHeight="1">
      <c r="A87" s="32"/>
      <c r="B87" s="33"/>
      <c r="C87" s="35">
        <v>11</v>
      </c>
      <c r="D87" s="282">
        <v>0</v>
      </c>
      <c r="E87" s="282">
        <v>0</v>
      </c>
      <c r="F87" s="282">
        <v>0</v>
      </c>
      <c r="G87" s="33"/>
      <c r="H87" s="33"/>
      <c r="I87" s="37"/>
    </row>
    <row r="88" spans="1:9" ht="12.75" customHeight="1">
      <c r="A88" s="32"/>
      <c r="B88" s="33"/>
      <c r="C88" s="35">
        <v>12</v>
      </c>
      <c r="D88" s="282">
        <v>0</v>
      </c>
      <c r="E88" s="282">
        <v>0</v>
      </c>
      <c r="F88" s="282">
        <v>0</v>
      </c>
      <c r="G88" s="33"/>
      <c r="H88" s="33"/>
      <c r="I88" s="37"/>
    </row>
    <row r="89" spans="1:9" ht="12.75" customHeight="1">
      <c r="A89" s="32"/>
      <c r="B89" s="33"/>
      <c r="C89" s="35">
        <v>13</v>
      </c>
      <c r="D89" s="282">
        <v>0</v>
      </c>
      <c r="E89" s="282">
        <v>0</v>
      </c>
      <c r="F89" s="282">
        <v>0</v>
      </c>
      <c r="G89" s="33"/>
      <c r="H89" s="33"/>
      <c r="I89" s="37"/>
    </row>
    <row r="90" spans="1:9" ht="12.75" customHeight="1">
      <c r="A90" s="32"/>
      <c r="B90" s="33"/>
      <c r="C90" s="35">
        <v>14</v>
      </c>
      <c r="D90" s="282">
        <v>0</v>
      </c>
      <c r="E90" s="282">
        <v>0</v>
      </c>
      <c r="F90" s="282">
        <v>0</v>
      </c>
      <c r="G90" s="33"/>
      <c r="H90" s="33"/>
      <c r="I90" s="37"/>
    </row>
    <row r="91" spans="1:9" ht="12.75" customHeight="1">
      <c r="A91" s="32"/>
      <c r="B91" s="33"/>
      <c r="C91" s="35">
        <v>15</v>
      </c>
      <c r="D91" s="282">
        <v>0</v>
      </c>
      <c r="E91" s="282">
        <v>0</v>
      </c>
      <c r="F91" s="282">
        <v>0</v>
      </c>
      <c r="G91" s="33"/>
      <c r="H91" s="33"/>
      <c r="I91" s="37"/>
    </row>
    <row r="92" spans="1:9" ht="12.75" customHeight="1">
      <c r="A92" s="32"/>
      <c r="B92" s="33"/>
      <c r="C92" s="35">
        <v>16</v>
      </c>
      <c r="D92" s="282">
        <v>0</v>
      </c>
      <c r="E92" s="282">
        <v>0</v>
      </c>
      <c r="F92" s="282">
        <v>0</v>
      </c>
      <c r="G92" s="33"/>
      <c r="H92" s="33"/>
      <c r="I92" s="37"/>
    </row>
    <row r="93" spans="1:9" ht="12.75" customHeight="1">
      <c r="A93" s="32"/>
      <c r="B93" s="33"/>
      <c r="C93" s="35">
        <v>17</v>
      </c>
      <c r="D93" s="282">
        <v>0</v>
      </c>
      <c r="E93" s="282">
        <v>0</v>
      </c>
      <c r="F93" s="282">
        <v>0</v>
      </c>
      <c r="G93" s="33"/>
      <c r="H93" s="33"/>
      <c r="I93" s="37"/>
    </row>
    <row r="94" spans="1:9" ht="12.75" customHeight="1">
      <c r="A94" s="32"/>
      <c r="B94" s="33"/>
      <c r="C94" s="35">
        <v>18</v>
      </c>
      <c r="D94" s="282">
        <v>0</v>
      </c>
      <c r="E94" s="282">
        <v>0</v>
      </c>
      <c r="F94" s="282">
        <v>0</v>
      </c>
      <c r="G94" s="33"/>
      <c r="H94" s="33"/>
      <c r="I94" s="37"/>
    </row>
    <row r="95" spans="1:9" ht="12.75" customHeight="1">
      <c r="A95" s="32"/>
      <c r="B95" s="33"/>
      <c r="C95" s="35">
        <v>19</v>
      </c>
      <c r="D95" s="282">
        <v>0</v>
      </c>
      <c r="E95" s="282">
        <v>0</v>
      </c>
      <c r="F95" s="282">
        <v>0</v>
      </c>
      <c r="G95" s="33"/>
      <c r="H95" s="33"/>
      <c r="I95" s="37"/>
    </row>
    <row r="96" spans="1:9" ht="12.75" customHeight="1">
      <c r="A96" s="32"/>
      <c r="B96" s="33"/>
      <c r="C96" s="35">
        <v>20</v>
      </c>
      <c r="D96" s="282">
        <v>0</v>
      </c>
      <c r="E96" s="282">
        <v>0</v>
      </c>
      <c r="F96" s="282">
        <v>0</v>
      </c>
      <c r="G96" s="33"/>
      <c r="H96" s="33"/>
      <c r="I96" s="37"/>
    </row>
    <row r="97" spans="1:9" ht="12.75" customHeight="1">
      <c r="A97" s="32"/>
      <c r="B97" s="33"/>
      <c r="C97" s="35">
        <v>21</v>
      </c>
      <c r="D97" s="282">
        <v>0</v>
      </c>
      <c r="E97" s="282">
        <v>0</v>
      </c>
      <c r="F97" s="282">
        <v>0</v>
      </c>
      <c r="G97" s="33"/>
      <c r="H97" s="33"/>
      <c r="I97" s="37"/>
    </row>
    <row r="98" spans="1:9" ht="12.75" customHeight="1">
      <c r="A98" s="32"/>
      <c r="B98" s="33"/>
      <c r="C98" s="35">
        <v>22</v>
      </c>
      <c r="D98" s="282">
        <v>0</v>
      </c>
      <c r="E98" s="282">
        <v>0</v>
      </c>
      <c r="F98" s="282">
        <v>0</v>
      </c>
      <c r="G98" s="33"/>
      <c r="H98" s="33"/>
      <c r="I98" s="37"/>
    </row>
    <row r="99" spans="1:9" ht="12.75" customHeight="1">
      <c r="A99" s="32"/>
      <c r="B99" s="33"/>
      <c r="C99" s="35">
        <v>23</v>
      </c>
      <c r="D99" s="282">
        <v>0</v>
      </c>
      <c r="E99" s="282">
        <v>0</v>
      </c>
      <c r="F99" s="282">
        <v>0</v>
      </c>
      <c r="G99" s="33"/>
      <c r="H99" s="33"/>
      <c r="I99" s="37"/>
    </row>
    <row r="100" spans="1:9" ht="12.75" customHeight="1">
      <c r="A100" s="32"/>
      <c r="B100" s="33"/>
      <c r="C100" s="35">
        <v>24</v>
      </c>
      <c r="D100" s="282">
        <v>0</v>
      </c>
      <c r="E100" s="282">
        <v>0</v>
      </c>
      <c r="F100" s="282">
        <v>0</v>
      </c>
      <c r="G100" s="33"/>
      <c r="H100" s="33"/>
      <c r="I100" s="37"/>
    </row>
    <row r="101" spans="1:9" ht="12.75" customHeight="1">
      <c r="A101" s="32"/>
      <c r="B101" s="33"/>
      <c r="C101" s="35">
        <v>25</v>
      </c>
      <c r="D101" s="282">
        <v>0</v>
      </c>
      <c r="E101" s="282">
        <v>0</v>
      </c>
      <c r="F101" s="282">
        <v>0</v>
      </c>
      <c r="G101" s="33"/>
      <c r="H101" s="33"/>
      <c r="I101" s="37"/>
    </row>
    <row r="102" spans="1:9" ht="12.75" customHeight="1">
      <c r="A102" s="32"/>
      <c r="B102" s="33"/>
      <c r="C102" s="35">
        <v>26</v>
      </c>
      <c r="D102" s="282">
        <v>0</v>
      </c>
      <c r="E102" s="282">
        <v>0</v>
      </c>
      <c r="F102" s="282">
        <v>0</v>
      </c>
      <c r="G102" s="33"/>
      <c r="H102" s="33"/>
      <c r="I102" s="37"/>
    </row>
    <row r="103" spans="1:9" ht="12.75" customHeight="1">
      <c r="A103" s="32"/>
      <c r="B103" s="33"/>
      <c r="C103" s="35">
        <v>27</v>
      </c>
      <c r="D103" s="282">
        <v>0</v>
      </c>
      <c r="E103" s="282">
        <v>0</v>
      </c>
      <c r="F103" s="282">
        <v>0</v>
      </c>
      <c r="G103" s="33"/>
      <c r="H103" s="33"/>
      <c r="I103" s="37"/>
    </row>
    <row r="104" spans="1:9" ht="12.75" customHeight="1">
      <c r="A104" s="32"/>
      <c r="B104" s="33"/>
      <c r="C104" s="35">
        <v>28</v>
      </c>
      <c r="D104" s="282">
        <v>0</v>
      </c>
      <c r="E104" s="282">
        <v>0</v>
      </c>
      <c r="F104" s="282">
        <v>0</v>
      </c>
      <c r="G104" s="33"/>
      <c r="H104" s="33"/>
      <c r="I104" s="37"/>
    </row>
    <row r="105" spans="1:9" ht="12.75" customHeight="1">
      <c r="A105" s="32"/>
      <c r="B105" s="33"/>
      <c r="C105" s="35">
        <v>29</v>
      </c>
      <c r="D105" s="282">
        <v>0</v>
      </c>
      <c r="E105" s="282">
        <v>0</v>
      </c>
      <c r="F105" s="282">
        <v>0</v>
      </c>
      <c r="G105" s="33"/>
      <c r="H105" s="33"/>
      <c r="I105" s="37"/>
    </row>
    <row r="106" spans="1:9" ht="12.75" customHeight="1">
      <c r="A106" s="32"/>
      <c r="B106" s="33"/>
      <c r="C106" s="35">
        <v>30</v>
      </c>
      <c r="D106" s="282">
        <v>0</v>
      </c>
      <c r="E106" s="282">
        <v>0</v>
      </c>
      <c r="F106" s="282">
        <v>0</v>
      </c>
      <c r="G106" s="33"/>
      <c r="H106" s="33"/>
      <c r="I106" s="37"/>
    </row>
    <row r="107" spans="1:9" ht="12.75" customHeight="1">
      <c r="A107" s="32"/>
      <c r="B107" s="33"/>
      <c r="C107" s="35">
        <v>31</v>
      </c>
      <c r="D107" s="282">
        <v>0</v>
      </c>
      <c r="E107" s="282">
        <v>0</v>
      </c>
      <c r="F107" s="282">
        <v>0</v>
      </c>
      <c r="G107" s="33"/>
      <c r="H107" s="33"/>
      <c r="I107" s="37"/>
    </row>
    <row r="108" spans="1:9" ht="12.75" customHeight="1">
      <c r="A108" s="32"/>
      <c r="B108" s="33"/>
      <c r="C108" s="35">
        <v>32</v>
      </c>
      <c r="D108" s="282">
        <v>0</v>
      </c>
      <c r="E108" s="282">
        <v>0</v>
      </c>
      <c r="F108" s="282">
        <v>0</v>
      </c>
      <c r="G108" s="33"/>
      <c r="H108" s="33"/>
      <c r="I108" s="37"/>
    </row>
    <row r="109" spans="1:9" ht="12.75" customHeight="1">
      <c r="A109" s="32"/>
      <c r="B109" s="33"/>
      <c r="C109" s="35">
        <v>33</v>
      </c>
      <c r="D109" s="282">
        <v>0</v>
      </c>
      <c r="E109" s="282">
        <v>0</v>
      </c>
      <c r="F109" s="282">
        <v>0</v>
      </c>
      <c r="G109" s="33"/>
      <c r="H109" s="33"/>
      <c r="I109" s="37"/>
    </row>
    <row r="110" spans="1:9" ht="12.75" customHeight="1">
      <c r="A110" s="32"/>
      <c r="B110" s="33"/>
      <c r="C110" s="35">
        <v>34</v>
      </c>
      <c r="D110" s="282">
        <v>0</v>
      </c>
      <c r="E110" s="282">
        <v>0</v>
      </c>
      <c r="F110" s="282">
        <v>0</v>
      </c>
      <c r="G110" s="33"/>
      <c r="H110" s="33"/>
      <c r="I110" s="37"/>
    </row>
    <row r="111" spans="1:9" ht="12.75" customHeight="1">
      <c r="A111" s="32"/>
      <c r="B111" s="33"/>
      <c r="C111" s="35">
        <v>35</v>
      </c>
      <c r="D111" s="282">
        <v>0</v>
      </c>
      <c r="E111" s="282">
        <v>0</v>
      </c>
      <c r="F111" s="282">
        <v>0</v>
      </c>
      <c r="G111" s="33"/>
      <c r="H111" s="33"/>
      <c r="I111" s="37"/>
    </row>
    <row r="112" spans="1:9" ht="12.75" customHeight="1">
      <c r="A112" s="32"/>
      <c r="B112" s="33"/>
      <c r="C112" s="35">
        <v>36</v>
      </c>
      <c r="D112" s="282">
        <v>0</v>
      </c>
      <c r="E112" s="282">
        <v>0</v>
      </c>
      <c r="F112" s="282">
        <v>0</v>
      </c>
      <c r="G112" s="33"/>
      <c r="H112" s="33"/>
      <c r="I112" s="37"/>
    </row>
    <row r="113" spans="1:9" ht="12.75" customHeight="1">
      <c r="A113" s="32"/>
      <c r="B113" s="33"/>
      <c r="C113" s="35">
        <v>37</v>
      </c>
      <c r="D113" s="282">
        <v>0</v>
      </c>
      <c r="E113" s="282">
        <v>0</v>
      </c>
      <c r="F113" s="282">
        <v>0</v>
      </c>
      <c r="G113" s="33"/>
      <c r="H113" s="33"/>
      <c r="I113" s="37"/>
    </row>
    <row r="114" spans="1:9" ht="12.75" customHeight="1">
      <c r="A114" s="32"/>
      <c r="B114" s="33"/>
      <c r="C114" s="35">
        <v>38</v>
      </c>
      <c r="D114" s="282">
        <v>0</v>
      </c>
      <c r="E114" s="282">
        <v>0</v>
      </c>
      <c r="F114" s="282">
        <v>0</v>
      </c>
      <c r="G114" s="33"/>
      <c r="H114" s="33"/>
      <c r="I114" s="37"/>
    </row>
    <row r="115" spans="1:9" ht="12.75" customHeight="1">
      <c r="A115" s="32"/>
      <c r="B115" s="33"/>
      <c r="C115" s="35">
        <v>39</v>
      </c>
      <c r="D115" s="282">
        <v>0</v>
      </c>
      <c r="E115" s="282">
        <v>0</v>
      </c>
      <c r="F115" s="282">
        <v>0</v>
      </c>
      <c r="G115" s="33"/>
      <c r="H115" s="33"/>
      <c r="I115" s="37"/>
    </row>
    <row r="116" spans="1:9" ht="12.75" customHeight="1">
      <c r="A116" s="32"/>
      <c r="B116" s="33"/>
      <c r="C116" s="35">
        <v>40</v>
      </c>
      <c r="D116" s="282">
        <v>0</v>
      </c>
      <c r="E116" s="282">
        <v>0</v>
      </c>
      <c r="F116" s="282">
        <v>0</v>
      </c>
      <c r="G116" s="33"/>
      <c r="H116" s="33"/>
      <c r="I116" s="37"/>
    </row>
    <row r="117" spans="1:9" ht="12.75" customHeight="1">
      <c r="A117" s="32"/>
      <c r="B117" s="33"/>
      <c r="C117" s="35">
        <v>41</v>
      </c>
      <c r="D117" s="282">
        <v>0</v>
      </c>
      <c r="E117" s="282">
        <v>0</v>
      </c>
      <c r="F117" s="282">
        <v>0</v>
      </c>
      <c r="G117" s="33"/>
      <c r="H117" s="33"/>
      <c r="I117" s="37"/>
    </row>
    <row r="118" spans="1:9" ht="12.75" customHeight="1">
      <c r="A118" s="32"/>
      <c r="B118" s="33"/>
      <c r="C118" s="35">
        <v>42</v>
      </c>
      <c r="D118" s="282">
        <v>0</v>
      </c>
      <c r="E118" s="282">
        <v>0</v>
      </c>
      <c r="F118" s="282">
        <v>0</v>
      </c>
      <c r="G118" s="33"/>
      <c r="H118" s="33"/>
      <c r="I118" s="37"/>
    </row>
    <row r="119" spans="1:9" ht="12.75" customHeight="1">
      <c r="A119" s="32"/>
      <c r="B119" s="33"/>
      <c r="C119" s="35">
        <v>43</v>
      </c>
      <c r="D119" s="282">
        <v>0</v>
      </c>
      <c r="E119" s="282">
        <v>0</v>
      </c>
      <c r="F119" s="282">
        <v>0</v>
      </c>
      <c r="G119" s="33"/>
      <c r="H119" s="33"/>
      <c r="I119" s="37"/>
    </row>
    <row r="120" spans="1:9" ht="12.75" customHeight="1">
      <c r="A120" s="32"/>
      <c r="B120" s="33"/>
      <c r="C120" s="35">
        <v>44</v>
      </c>
      <c r="D120" s="282">
        <v>0</v>
      </c>
      <c r="E120" s="282">
        <v>0</v>
      </c>
      <c r="F120" s="282">
        <v>0</v>
      </c>
      <c r="G120" s="33"/>
      <c r="H120" s="33"/>
      <c r="I120" s="37"/>
    </row>
    <row r="121" spans="1:9" ht="12.75" customHeight="1">
      <c r="A121" s="32"/>
      <c r="B121" s="33"/>
      <c r="C121" s="35">
        <v>45</v>
      </c>
      <c r="D121" s="282">
        <v>0</v>
      </c>
      <c r="E121" s="282">
        <v>0</v>
      </c>
      <c r="F121" s="282">
        <v>0</v>
      </c>
      <c r="G121" s="33"/>
      <c r="H121" s="33"/>
      <c r="I121" s="37"/>
    </row>
    <row r="122" spans="1:9" ht="12.75" customHeight="1">
      <c r="A122" s="32"/>
      <c r="B122" s="33"/>
      <c r="C122" s="35">
        <v>46</v>
      </c>
      <c r="D122" s="282">
        <v>0</v>
      </c>
      <c r="E122" s="282">
        <v>0</v>
      </c>
      <c r="F122" s="282">
        <v>0</v>
      </c>
      <c r="G122" s="33"/>
      <c r="H122" s="33"/>
      <c r="I122" s="37"/>
    </row>
    <row r="123" spans="1:9" ht="12.75" customHeight="1">
      <c r="A123" s="32"/>
      <c r="B123" s="33"/>
      <c r="C123" s="35">
        <v>47</v>
      </c>
      <c r="D123" s="282">
        <v>0</v>
      </c>
      <c r="E123" s="282">
        <v>0</v>
      </c>
      <c r="F123" s="282">
        <v>0</v>
      </c>
      <c r="G123" s="33"/>
      <c r="H123" s="33"/>
      <c r="I123" s="37"/>
    </row>
    <row r="124" spans="1:9" ht="12.75" customHeight="1">
      <c r="A124" s="32"/>
      <c r="B124" s="33"/>
      <c r="C124" s="35">
        <v>48</v>
      </c>
      <c r="D124" s="282">
        <v>0</v>
      </c>
      <c r="E124" s="282">
        <v>0</v>
      </c>
      <c r="F124" s="282">
        <v>0</v>
      </c>
      <c r="G124" s="33"/>
      <c r="H124" s="33"/>
      <c r="I124" s="37"/>
    </row>
    <row r="125" spans="1:9" ht="12.75" customHeight="1">
      <c r="A125" s="32"/>
      <c r="B125" s="33"/>
      <c r="C125" s="35">
        <v>49</v>
      </c>
      <c r="D125" s="282">
        <v>0</v>
      </c>
      <c r="E125" s="282">
        <v>0</v>
      </c>
      <c r="F125" s="282">
        <v>0</v>
      </c>
      <c r="G125" s="33"/>
      <c r="H125" s="33"/>
      <c r="I125" s="37"/>
    </row>
    <row r="126" spans="1:9" ht="12.75" customHeight="1">
      <c r="A126" s="32"/>
      <c r="B126" s="33"/>
      <c r="C126" s="35">
        <v>50</v>
      </c>
      <c r="D126" s="282">
        <v>0</v>
      </c>
      <c r="E126" s="282">
        <v>0</v>
      </c>
      <c r="F126" s="282">
        <v>0</v>
      </c>
      <c r="G126" s="33"/>
      <c r="H126" s="33"/>
      <c r="I126" s="37"/>
    </row>
    <row r="127" spans="1:9" ht="12.75" customHeight="1">
      <c r="A127" s="32"/>
      <c r="B127" s="33"/>
      <c r="C127" s="35">
        <v>51</v>
      </c>
      <c r="D127" s="282">
        <v>0</v>
      </c>
      <c r="E127" s="282">
        <v>0</v>
      </c>
      <c r="F127" s="282">
        <v>0</v>
      </c>
      <c r="G127" s="33"/>
      <c r="H127" s="33"/>
      <c r="I127" s="37"/>
    </row>
    <row r="128" spans="1:9" ht="12.75" customHeight="1">
      <c r="A128" s="32"/>
      <c r="B128" s="33"/>
      <c r="C128" s="35">
        <v>52</v>
      </c>
      <c r="D128" s="282">
        <v>0</v>
      </c>
      <c r="E128" s="282">
        <v>0</v>
      </c>
      <c r="F128" s="282">
        <v>0</v>
      </c>
      <c r="G128" s="33"/>
      <c r="H128" s="33"/>
      <c r="I128" s="37"/>
    </row>
    <row r="129" spans="1:9" ht="12.75" customHeight="1">
      <c r="A129" s="32"/>
      <c r="B129" s="33"/>
      <c r="C129" s="35">
        <v>53</v>
      </c>
      <c r="D129" s="282">
        <v>0</v>
      </c>
      <c r="E129" s="282">
        <v>0</v>
      </c>
      <c r="F129" s="282">
        <v>0</v>
      </c>
      <c r="G129" s="33"/>
      <c r="H129" s="33"/>
      <c r="I129" s="37"/>
    </row>
    <row r="130" spans="1:9" ht="12.75" customHeight="1">
      <c r="A130" s="32"/>
      <c r="B130" s="33"/>
      <c r="C130" s="35">
        <v>54</v>
      </c>
      <c r="D130" s="282">
        <v>0</v>
      </c>
      <c r="E130" s="282">
        <v>0</v>
      </c>
      <c r="F130" s="282">
        <v>0</v>
      </c>
      <c r="G130" s="33"/>
      <c r="H130" s="33"/>
      <c r="I130" s="37"/>
    </row>
    <row r="131" spans="1:9" ht="12.75" customHeight="1">
      <c r="A131" s="32"/>
      <c r="B131" s="33"/>
      <c r="C131" s="35">
        <v>55</v>
      </c>
      <c r="D131" s="282">
        <v>0</v>
      </c>
      <c r="E131" s="282">
        <v>0</v>
      </c>
      <c r="F131" s="282">
        <v>0</v>
      </c>
      <c r="G131" s="33"/>
      <c r="H131" s="33"/>
      <c r="I131" s="37"/>
    </row>
    <row r="132" spans="1:9" ht="12.75" customHeight="1">
      <c r="A132" s="32"/>
      <c r="B132" s="33"/>
      <c r="C132" s="35">
        <v>56</v>
      </c>
      <c r="D132" s="282">
        <v>0</v>
      </c>
      <c r="E132" s="282">
        <v>0</v>
      </c>
      <c r="F132" s="282">
        <v>0</v>
      </c>
      <c r="G132" s="33"/>
      <c r="H132" s="33"/>
      <c r="I132" s="37"/>
    </row>
    <row r="133" spans="1:9" ht="12.75" customHeight="1">
      <c r="A133" s="32"/>
      <c r="B133" s="33"/>
      <c r="C133" s="35">
        <v>57</v>
      </c>
      <c r="D133" s="282">
        <v>0</v>
      </c>
      <c r="E133" s="282">
        <v>0</v>
      </c>
      <c r="F133" s="282">
        <v>0</v>
      </c>
      <c r="G133" s="33"/>
      <c r="H133" s="33"/>
      <c r="I133" s="37"/>
    </row>
    <row r="134" spans="1:9" ht="12.75" customHeight="1">
      <c r="A134" s="32"/>
      <c r="B134" s="33"/>
      <c r="C134" s="35">
        <v>58</v>
      </c>
      <c r="D134" s="282">
        <v>0</v>
      </c>
      <c r="E134" s="282">
        <v>0</v>
      </c>
      <c r="F134" s="282">
        <v>0</v>
      </c>
      <c r="G134" s="33"/>
      <c r="H134" s="33"/>
      <c r="I134" s="37"/>
    </row>
    <row r="135" spans="1:9" ht="12.75" customHeight="1">
      <c r="A135" s="32"/>
      <c r="B135" s="33"/>
      <c r="C135" s="35">
        <v>59</v>
      </c>
      <c r="D135" s="282">
        <v>0</v>
      </c>
      <c r="E135" s="282">
        <v>0</v>
      </c>
      <c r="F135" s="282">
        <v>0</v>
      </c>
      <c r="G135" s="33"/>
      <c r="H135" s="33"/>
      <c r="I135" s="37"/>
    </row>
    <row r="136" spans="1:9" ht="12.75" customHeight="1">
      <c r="A136" s="32"/>
      <c r="B136" s="33"/>
      <c r="C136" s="35">
        <v>60</v>
      </c>
      <c r="D136" s="282">
        <v>0</v>
      </c>
      <c r="E136" s="282">
        <v>0</v>
      </c>
      <c r="F136" s="282">
        <v>0</v>
      </c>
      <c r="G136" s="33"/>
      <c r="H136" s="33"/>
      <c r="I136" s="37"/>
    </row>
    <row r="137" spans="1:9" ht="15.9" customHeight="1">
      <c r="A137" s="32"/>
      <c r="B137" s="33"/>
      <c r="C137" s="259"/>
      <c r="D137" s="263"/>
      <c r="E137" s="263"/>
      <c r="F137" s="263"/>
      <c r="G137" s="263"/>
      <c r="H137" s="33"/>
      <c r="I137" s="37"/>
    </row>
    <row r="138" spans="1:9" ht="15.9" customHeight="1">
      <c r="A138" s="32"/>
      <c r="B138" s="33"/>
      <c r="C138" s="259"/>
      <c r="D138" s="263"/>
      <c r="E138" s="263"/>
      <c r="F138" s="263"/>
      <c r="G138" s="263"/>
      <c r="H138" s="33"/>
      <c r="I138" s="37"/>
    </row>
    <row r="139" spans="1:9" ht="17.25" customHeight="1">
      <c r="A139" s="32"/>
      <c r="B139" s="60" t="s">
        <v>597</v>
      </c>
      <c r="C139" s="431" t="s">
        <v>83</v>
      </c>
      <c r="D139" s="431"/>
      <c r="E139" s="431"/>
      <c r="F139" s="431"/>
      <c r="G139" s="431"/>
      <c r="H139" s="431"/>
      <c r="I139" s="37"/>
    </row>
    <row r="140" spans="1:9" ht="15.9" customHeight="1">
      <c r="A140" s="32"/>
      <c r="B140" s="33"/>
      <c r="C140" s="259"/>
      <c r="D140" s="263"/>
      <c r="E140" s="263"/>
      <c r="F140" s="263"/>
      <c r="G140" s="263"/>
      <c r="H140" s="33"/>
      <c r="I140" s="37"/>
    </row>
    <row r="141" spans="1:9" ht="20.149999999999999" customHeight="1">
      <c r="A141" s="32"/>
      <c r="B141" s="259" t="s">
        <v>598</v>
      </c>
      <c r="C141" s="246" t="s">
        <v>591</v>
      </c>
      <c r="D141" s="247" t="s">
        <v>56</v>
      </c>
      <c r="E141" s="247" t="s">
        <v>57</v>
      </c>
      <c r="F141" s="247" t="s">
        <v>58</v>
      </c>
      <c r="G141" s="247" t="s">
        <v>61</v>
      </c>
      <c r="H141" s="33"/>
      <c r="I141" s="37"/>
    </row>
    <row r="142" spans="1:9" ht="12.75" customHeight="1">
      <c r="A142" s="397"/>
      <c r="B142" s="33"/>
      <c r="C142" s="35">
        <v>1</v>
      </c>
      <c r="D142" s="274">
        <f>D9*POWER(1+D77,C142-0.5)/POWER(1+AVERAGE('Vedlegg 1 - Rentekurve'!$D9:D10),C142-0.5)</f>
        <v>0</v>
      </c>
      <c r="E142" s="274">
        <f>E9*POWER(1+E77,C142-0.5)/POWER(1+AVERAGE('Vedlegg 1 - Rentekurve'!$D9:D10),C142-0.5)</f>
        <v>0</v>
      </c>
      <c r="F142" s="274">
        <f>F9*POWER(1+F77,C142-0.5)/POWER(1+AVERAGE('Vedlegg 1 - Rentekurve'!$D9:D10),C142-0.5)</f>
        <v>0</v>
      </c>
      <c r="G142" s="274">
        <f t="shared" ref="G142:G202" si="1">SUM(D142:F142)</f>
        <v>0</v>
      </c>
      <c r="H142" s="33"/>
      <c r="I142" s="37"/>
    </row>
    <row r="143" spans="1:9" ht="12.75" customHeight="1">
      <c r="A143" s="32"/>
      <c r="B143" s="33"/>
      <c r="C143" s="35">
        <v>2</v>
      </c>
      <c r="D143" s="274">
        <f>D10*POWER(1+D78,C143-0.5)/POWER(1+AVERAGE('Vedlegg 1 - Rentekurve'!$D10:D11),C143-0.5)</f>
        <v>0</v>
      </c>
      <c r="E143" s="274">
        <f>E10*POWER(1+E78,C143-0.5)/POWER(1+AVERAGE('Vedlegg 1 - Rentekurve'!$D10:D11),C143-0.5)</f>
        <v>0</v>
      </c>
      <c r="F143" s="274">
        <f>F10*POWER(1+F78,C143-0.5)/POWER(1+AVERAGE('Vedlegg 1 - Rentekurve'!$D10:D11),C143-0.5)</f>
        <v>0</v>
      </c>
      <c r="G143" s="274">
        <f t="shared" si="1"/>
        <v>0</v>
      </c>
      <c r="H143" s="33"/>
      <c r="I143" s="37"/>
    </row>
    <row r="144" spans="1:9" ht="12.75" customHeight="1">
      <c r="A144" s="32"/>
      <c r="B144" s="33"/>
      <c r="C144" s="35">
        <v>3</v>
      </c>
      <c r="D144" s="274">
        <f>D11*POWER(1+D79,C144-0.5)/POWER(1+AVERAGE('Vedlegg 1 - Rentekurve'!$D11:D12),C144-0.5)</f>
        <v>0</v>
      </c>
      <c r="E144" s="274">
        <f>E11*POWER(1+E79,C144-0.5)/POWER(1+AVERAGE('Vedlegg 1 - Rentekurve'!$D11:D12),C144-0.5)</f>
        <v>0</v>
      </c>
      <c r="F144" s="274">
        <f>F11*POWER(1+F79,C144-0.5)/POWER(1+AVERAGE('Vedlegg 1 - Rentekurve'!$D11:D12),C144-0.5)</f>
        <v>0</v>
      </c>
      <c r="G144" s="274">
        <f t="shared" si="1"/>
        <v>0</v>
      </c>
      <c r="H144" s="33"/>
      <c r="I144" s="37"/>
    </row>
    <row r="145" spans="1:9" ht="12.75" customHeight="1">
      <c r="A145" s="32"/>
      <c r="B145" s="33"/>
      <c r="C145" s="35">
        <v>4</v>
      </c>
      <c r="D145" s="274">
        <f>D12*POWER(1+D80,C145-0.5)/POWER(1+AVERAGE('Vedlegg 1 - Rentekurve'!$D12:D13),C145-0.5)</f>
        <v>0</v>
      </c>
      <c r="E145" s="274">
        <f>E12*POWER(1+E80,C145-0.5)/POWER(1+AVERAGE('Vedlegg 1 - Rentekurve'!$D12:D13),C145-0.5)</f>
        <v>0</v>
      </c>
      <c r="F145" s="274">
        <f>F12*POWER(1+F80,C145-0.5)/POWER(1+AVERAGE('Vedlegg 1 - Rentekurve'!$D12:D13),C145-0.5)</f>
        <v>0</v>
      </c>
      <c r="G145" s="274">
        <f t="shared" si="1"/>
        <v>0</v>
      </c>
      <c r="H145" s="33"/>
      <c r="I145" s="37"/>
    </row>
    <row r="146" spans="1:9" ht="12.75" customHeight="1">
      <c r="A146" s="32"/>
      <c r="B146" s="33"/>
      <c r="C146" s="35">
        <v>5</v>
      </c>
      <c r="D146" s="274">
        <f>D13*POWER(1+D81,C146-0.5)/POWER(1+AVERAGE('Vedlegg 1 - Rentekurve'!$D13:D14),C146-0.5)</f>
        <v>0</v>
      </c>
      <c r="E146" s="274">
        <f>E13*POWER(1+E81,C146-0.5)/POWER(1+AVERAGE('Vedlegg 1 - Rentekurve'!$D13:D14),C146-0.5)</f>
        <v>0</v>
      </c>
      <c r="F146" s="274">
        <f>F13*POWER(1+F81,C146-0.5)/POWER(1+AVERAGE('Vedlegg 1 - Rentekurve'!$D13:D14),C146-0.5)</f>
        <v>0</v>
      </c>
      <c r="G146" s="274">
        <f t="shared" si="1"/>
        <v>0</v>
      </c>
      <c r="H146" s="33"/>
      <c r="I146" s="37"/>
    </row>
    <row r="147" spans="1:9" ht="12.75" customHeight="1">
      <c r="A147" s="32"/>
      <c r="B147" s="33"/>
      <c r="C147" s="35">
        <v>6</v>
      </c>
      <c r="D147" s="274">
        <f>D14*POWER(1+D82,C147-0.5)/POWER(1+AVERAGE('Vedlegg 1 - Rentekurve'!$D14:D15),C147-0.5)</f>
        <v>0</v>
      </c>
      <c r="E147" s="274">
        <f>E14*POWER(1+E82,C147-0.5)/POWER(1+AVERAGE('Vedlegg 1 - Rentekurve'!$D14:D15),C147-0.5)</f>
        <v>0</v>
      </c>
      <c r="F147" s="274">
        <f>F14*POWER(1+F82,C147-0.5)/POWER(1+AVERAGE('Vedlegg 1 - Rentekurve'!$D14:D15),C147-0.5)</f>
        <v>0</v>
      </c>
      <c r="G147" s="274">
        <f t="shared" si="1"/>
        <v>0</v>
      </c>
      <c r="H147" s="33"/>
      <c r="I147" s="37"/>
    </row>
    <row r="148" spans="1:9" ht="12.75" customHeight="1">
      <c r="A148" s="32"/>
      <c r="B148" s="33"/>
      <c r="C148" s="35">
        <v>7</v>
      </c>
      <c r="D148" s="274">
        <f>D15*POWER(1+D83,C148-0.5)/POWER(1+AVERAGE('Vedlegg 1 - Rentekurve'!$D15:D16),C148-0.5)</f>
        <v>0</v>
      </c>
      <c r="E148" s="274">
        <f>E15*POWER(1+E83,C148-0.5)/POWER(1+AVERAGE('Vedlegg 1 - Rentekurve'!$D15:D16),C148-0.5)</f>
        <v>0</v>
      </c>
      <c r="F148" s="274">
        <f>F15*POWER(1+F83,C148-0.5)/POWER(1+AVERAGE('Vedlegg 1 - Rentekurve'!$D15:D16),C148-0.5)</f>
        <v>0</v>
      </c>
      <c r="G148" s="274">
        <f t="shared" si="1"/>
        <v>0</v>
      </c>
      <c r="H148" s="33"/>
      <c r="I148" s="37"/>
    </row>
    <row r="149" spans="1:9" ht="12.75" customHeight="1">
      <c r="A149" s="32"/>
      <c r="B149" s="33"/>
      <c r="C149" s="35">
        <v>8</v>
      </c>
      <c r="D149" s="274">
        <f>D16*POWER(1+D84,C149-0.5)/POWER(1+AVERAGE('Vedlegg 1 - Rentekurve'!$D16:D17),C149-0.5)</f>
        <v>0</v>
      </c>
      <c r="E149" s="274">
        <f>E16*POWER(1+E84,C149-0.5)/POWER(1+AVERAGE('Vedlegg 1 - Rentekurve'!$D16:D17),C149-0.5)</f>
        <v>0</v>
      </c>
      <c r="F149" s="274">
        <f>F16*POWER(1+F84,C149-0.5)/POWER(1+AVERAGE('Vedlegg 1 - Rentekurve'!$D16:D17),C149-0.5)</f>
        <v>0</v>
      </c>
      <c r="G149" s="274">
        <f t="shared" si="1"/>
        <v>0</v>
      </c>
      <c r="H149" s="33"/>
      <c r="I149" s="37"/>
    </row>
    <row r="150" spans="1:9" ht="12.75" customHeight="1">
      <c r="A150" s="32"/>
      <c r="B150" s="33"/>
      <c r="C150" s="35">
        <v>9</v>
      </c>
      <c r="D150" s="274">
        <f>D17*POWER(1+D85,C150-0.5)/POWER(1+AVERAGE('Vedlegg 1 - Rentekurve'!$D17:D18),C150-0.5)</f>
        <v>0</v>
      </c>
      <c r="E150" s="274">
        <f>E17*POWER(1+E85,C150-0.5)/POWER(1+AVERAGE('Vedlegg 1 - Rentekurve'!$D17:D18),C150-0.5)</f>
        <v>0</v>
      </c>
      <c r="F150" s="274">
        <f>F17*POWER(1+F85,C150-0.5)/POWER(1+AVERAGE('Vedlegg 1 - Rentekurve'!$D17:D18),C150-0.5)</f>
        <v>0</v>
      </c>
      <c r="G150" s="274">
        <f t="shared" si="1"/>
        <v>0</v>
      </c>
      <c r="H150" s="33"/>
      <c r="I150" s="37"/>
    </row>
    <row r="151" spans="1:9" ht="12.75" customHeight="1">
      <c r="A151" s="32"/>
      <c r="B151" s="33"/>
      <c r="C151" s="35">
        <v>10</v>
      </c>
      <c r="D151" s="274">
        <f>D18*POWER(1+D86,C151-0.5)/POWER(1+AVERAGE('Vedlegg 1 - Rentekurve'!$D18:D19),C151-0.5)</f>
        <v>0</v>
      </c>
      <c r="E151" s="274">
        <f>E18*POWER(1+E86,C151-0.5)/POWER(1+AVERAGE('Vedlegg 1 - Rentekurve'!$D18:D19),C151-0.5)</f>
        <v>0</v>
      </c>
      <c r="F151" s="274">
        <f>F18*POWER(1+F86,C151-0.5)/POWER(1+AVERAGE('Vedlegg 1 - Rentekurve'!$D18:D19),C151-0.5)</f>
        <v>0</v>
      </c>
      <c r="G151" s="274">
        <f t="shared" si="1"/>
        <v>0</v>
      </c>
      <c r="H151" s="33"/>
      <c r="I151" s="37"/>
    </row>
    <row r="152" spans="1:9" ht="12.75" customHeight="1">
      <c r="A152" s="32"/>
      <c r="B152" s="33"/>
      <c r="C152" s="35">
        <v>11</v>
      </c>
      <c r="D152" s="274">
        <f>D19*POWER(1+D87,C152-0.5)/POWER(1+AVERAGE('Vedlegg 1 - Rentekurve'!$D19:D20),C152-0.5)</f>
        <v>0</v>
      </c>
      <c r="E152" s="274">
        <f>E19*POWER(1+E87,C152-0.5)/POWER(1+AVERAGE('Vedlegg 1 - Rentekurve'!$D19:D20),C152-0.5)</f>
        <v>0</v>
      </c>
      <c r="F152" s="274">
        <f>F19*POWER(1+F87,C152-0.5)/POWER(1+AVERAGE('Vedlegg 1 - Rentekurve'!$D19:D20),C152-0.5)</f>
        <v>0</v>
      </c>
      <c r="G152" s="274">
        <f t="shared" si="1"/>
        <v>0</v>
      </c>
      <c r="H152" s="33"/>
      <c r="I152" s="37"/>
    </row>
    <row r="153" spans="1:9" ht="12.75" customHeight="1">
      <c r="A153" s="32"/>
      <c r="B153" s="33"/>
      <c r="C153" s="35">
        <v>12</v>
      </c>
      <c r="D153" s="274">
        <f>D20*POWER(1+D88,C153-0.5)/POWER(1+AVERAGE('Vedlegg 1 - Rentekurve'!$D20:D21),C153-0.5)</f>
        <v>0</v>
      </c>
      <c r="E153" s="274">
        <f>E20*POWER(1+E88,C153-0.5)/POWER(1+AVERAGE('Vedlegg 1 - Rentekurve'!$D20:D21),C153-0.5)</f>
        <v>0</v>
      </c>
      <c r="F153" s="274">
        <f>F20*POWER(1+F88,C153-0.5)/POWER(1+AVERAGE('Vedlegg 1 - Rentekurve'!$D20:D21),C153-0.5)</f>
        <v>0</v>
      </c>
      <c r="G153" s="274">
        <f t="shared" si="1"/>
        <v>0</v>
      </c>
      <c r="H153" s="33"/>
      <c r="I153" s="37"/>
    </row>
    <row r="154" spans="1:9" ht="12.75" customHeight="1">
      <c r="A154" s="32"/>
      <c r="B154" s="33"/>
      <c r="C154" s="35">
        <v>13</v>
      </c>
      <c r="D154" s="274">
        <f>D21*POWER(1+D89,C154-0.5)/POWER(1+AVERAGE('Vedlegg 1 - Rentekurve'!$D21:D22),C154-0.5)</f>
        <v>0</v>
      </c>
      <c r="E154" s="274">
        <f>E21*POWER(1+E89,C154-0.5)/POWER(1+AVERAGE('Vedlegg 1 - Rentekurve'!$D21:D22),C154-0.5)</f>
        <v>0</v>
      </c>
      <c r="F154" s="274">
        <f>F21*POWER(1+F89,C154-0.5)/POWER(1+AVERAGE('Vedlegg 1 - Rentekurve'!$D21:D22),C154-0.5)</f>
        <v>0</v>
      </c>
      <c r="G154" s="274">
        <f t="shared" si="1"/>
        <v>0</v>
      </c>
      <c r="H154" s="33"/>
      <c r="I154" s="37"/>
    </row>
    <row r="155" spans="1:9" ht="12.75" customHeight="1">
      <c r="A155" s="32"/>
      <c r="B155" s="33"/>
      <c r="C155" s="35">
        <v>14</v>
      </c>
      <c r="D155" s="274">
        <f>D22*POWER(1+D90,C155-0.5)/POWER(1+AVERAGE('Vedlegg 1 - Rentekurve'!$D22:D23),C155-0.5)</f>
        <v>0</v>
      </c>
      <c r="E155" s="274">
        <f>E22*POWER(1+E90,C155-0.5)/POWER(1+AVERAGE('Vedlegg 1 - Rentekurve'!$D22:D23),C155-0.5)</f>
        <v>0</v>
      </c>
      <c r="F155" s="274">
        <f>F22*POWER(1+F90,C155-0.5)/POWER(1+AVERAGE('Vedlegg 1 - Rentekurve'!$D22:D23),C155-0.5)</f>
        <v>0</v>
      </c>
      <c r="G155" s="274">
        <f t="shared" si="1"/>
        <v>0</v>
      </c>
      <c r="H155" s="33"/>
      <c r="I155" s="37"/>
    </row>
    <row r="156" spans="1:9" ht="12.75" customHeight="1">
      <c r="A156" s="32"/>
      <c r="B156" s="33"/>
      <c r="C156" s="35">
        <v>15</v>
      </c>
      <c r="D156" s="274">
        <f>D23*POWER(1+D91,C156-0.5)/POWER(1+AVERAGE('Vedlegg 1 - Rentekurve'!$D23:D24),C156-0.5)</f>
        <v>0</v>
      </c>
      <c r="E156" s="274">
        <f>E23*POWER(1+E91,C156-0.5)/POWER(1+AVERAGE('Vedlegg 1 - Rentekurve'!$D23:D24),C156-0.5)</f>
        <v>0</v>
      </c>
      <c r="F156" s="274">
        <f>F23*POWER(1+F91,C156-0.5)/POWER(1+AVERAGE('Vedlegg 1 - Rentekurve'!$D23:D24),C156-0.5)</f>
        <v>0</v>
      </c>
      <c r="G156" s="274">
        <f t="shared" si="1"/>
        <v>0</v>
      </c>
      <c r="H156" s="33"/>
      <c r="I156" s="37"/>
    </row>
    <row r="157" spans="1:9" ht="12.75" customHeight="1">
      <c r="A157" s="32"/>
      <c r="B157" s="33"/>
      <c r="C157" s="35">
        <v>16</v>
      </c>
      <c r="D157" s="274">
        <f>D24*POWER(1+D92,C157-0.5)/POWER(1+AVERAGE('Vedlegg 1 - Rentekurve'!$D24:D25),C157-0.5)</f>
        <v>0</v>
      </c>
      <c r="E157" s="274">
        <f>E24*POWER(1+E92,C157-0.5)/POWER(1+AVERAGE('Vedlegg 1 - Rentekurve'!$D24:D25),C157-0.5)</f>
        <v>0</v>
      </c>
      <c r="F157" s="274">
        <f>F24*POWER(1+F92,C157-0.5)/POWER(1+AVERAGE('Vedlegg 1 - Rentekurve'!$D24:D25),C157-0.5)</f>
        <v>0</v>
      </c>
      <c r="G157" s="274">
        <f t="shared" si="1"/>
        <v>0</v>
      </c>
      <c r="H157" s="33"/>
      <c r="I157" s="37"/>
    </row>
    <row r="158" spans="1:9" ht="12.75" customHeight="1">
      <c r="A158" s="32"/>
      <c r="B158" s="33"/>
      <c r="C158" s="35">
        <v>17</v>
      </c>
      <c r="D158" s="274">
        <f>D25*POWER(1+D93,C158-0.5)/POWER(1+AVERAGE('Vedlegg 1 - Rentekurve'!$D25:D26),C158-0.5)</f>
        <v>0</v>
      </c>
      <c r="E158" s="274">
        <f>E25*POWER(1+E93,C158-0.5)/POWER(1+AVERAGE('Vedlegg 1 - Rentekurve'!$D25:D26),C158-0.5)</f>
        <v>0</v>
      </c>
      <c r="F158" s="274">
        <f>F25*POWER(1+F93,C158-0.5)/POWER(1+AVERAGE('Vedlegg 1 - Rentekurve'!$D25:D26),C158-0.5)</f>
        <v>0</v>
      </c>
      <c r="G158" s="274">
        <f t="shared" si="1"/>
        <v>0</v>
      </c>
      <c r="H158" s="33"/>
      <c r="I158" s="37"/>
    </row>
    <row r="159" spans="1:9" ht="12.75" customHeight="1">
      <c r="A159" s="32"/>
      <c r="B159" s="33"/>
      <c r="C159" s="35">
        <v>18</v>
      </c>
      <c r="D159" s="274">
        <f>D26*POWER(1+D94,C159-0.5)/POWER(1+AVERAGE('Vedlegg 1 - Rentekurve'!$D26:D27),C159-0.5)</f>
        <v>0</v>
      </c>
      <c r="E159" s="274">
        <f>E26*POWER(1+E94,C159-0.5)/POWER(1+AVERAGE('Vedlegg 1 - Rentekurve'!$D26:D27),C159-0.5)</f>
        <v>0</v>
      </c>
      <c r="F159" s="274">
        <f>F26*POWER(1+F94,C159-0.5)/POWER(1+AVERAGE('Vedlegg 1 - Rentekurve'!$D26:D27),C159-0.5)</f>
        <v>0</v>
      </c>
      <c r="G159" s="274">
        <f t="shared" si="1"/>
        <v>0</v>
      </c>
      <c r="H159" s="33"/>
      <c r="I159" s="37"/>
    </row>
    <row r="160" spans="1:9" ht="12.75" customHeight="1">
      <c r="A160" s="32"/>
      <c r="B160" s="33"/>
      <c r="C160" s="35">
        <v>19</v>
      </c>
      <c r="D160" s="274">
        <f>D27*POWER(1+D95,C160-0.5)/POWER(1+AVERAGE('Vedlegg 1 - Rentekurve'!$D27:D28),C160-0.5)</f>
        <v>0</v>
      </c>
      <c r="E160" s="274">
        <f>E27*POWER(1+E95,C160-0.5)/POWER(1+AVERAGE('Vedlegg 1 - Rentekurve'!$D27:D28),C160-0.5)</f>
        <v>0</v>
      </c>
      <c r="F160" s="274">
        <f>F27*POWER(1+F95,C160-0.5)/POWER(1+AVERAGE('Vedlegg 1 - Rentekurve'!$D27:D28),C160-0.5)</f>
        <v>0</v>
      </c>
      <c r="G160" s="274">
        <f t="shared" si="1"/>
        <v>0</v>
      </c>
      <c r="H160" s="33"/>
      <c r="I160" s="37"/>
    </row>
    <row r="161" spans="1:9" ht="12.75" customHeight="1">
      <c r="A161" s="32"/>
      <c r="B161" s="33"/>
      <c r="C161" s="35">
        <v>20</v>
      </c>
      <c r="D161" s="274">
        <f>D28*POWER(1+D96,C161-0.5)/POWER(1+AVERAGE('Vedlegg 1 - Rentekurve'!$D28:D29),C161-0.5)</f>
        <v>0</v>
      </c>
      <c r="E161" s="274">
        <f>E28*POWER(1+E96,C161-0.5)/POWER(1+AVERAGE('Vedlegg 1 - Rentekurve'!$D28:D29),C161-0.5)</f>
        <v>0</v>
      </c>
      <c r="F161" s="274">
        <f>F28*POWER(1+F96,C161-0.5)/POWER(1+AVERAGE('Vedlegg 1 - Rentekurve'!$D28:D29),C161-0.5)</f>
        <v>0</v>
      </c>
      <c r="G161" s="274">
        <f t="shared" si="1"/>
        <v>0</v>
      </c>
      <c r="H161" s="33"/>
      <c r="I161" s="37"/>
    </row>
    <row r="162" spans="1:9" ht="12.75" customHeight="1">
      <c r="A162" s="32"/>
      <c r="B162" s="33"/>
      <c r="C162" s="35">
        <v>21</v>
      </c>
      <c r="D162" s="274">
        <f>D29*POWER(1+D97,C162-0.5)/POWER(1+AVERAGE('Vedlegg 1 - Rentekurve'!$D29:D30),C162-0.5)</f>
        <v>0</v>
      </c>
      <c r="E162" s="274">
        <f>E29*POWER(1+E97,C162-0.5)/POWER(1+AVERAGE('Vedlegg 1 - Rentekurve'!$D29:D30),C162-0.5)</f>
        <v>0</v>
      </c>
      <c r="F162" s="274">
        <f>F29*POWER(1+F97,C162-0.5)/POWER(1+AVERAGE('Vedlegg 1 - Rentekurve'!$D29:D30),C162-0.5)</f>
        <v>0</v>
      </c>
      <c r="G162" s="274">
        <f t="shared" si="1"/>
        <v>0</v>
      </c>
      <c r="H162" s="33"/>
      <c r="I162" s="37"/>
    </row>
    <row r="163" spans="1:9" ht="12.75" customHeight="1">
      <c r="A163" s="32"/>
      <c r="B163" s="33"/>
      <c r="C163" s="35">
        <v>22</v>
      </c>
      <c r="D163" s="274">
        <f>D30*POWER(1+D98,C163-0.5)/POWER(1+AVERAGE('Vedlegg 1 - Rentekurve'!$D30:D31),C163-0.5)</f>
        <v>0</v>
      </c>
      <c r="E163" s="274">
        <f>E30*POWER(1+E98,C163-0.5)/POWER(1+AVERAGE('Vedlegg 1 - Rentekurve'!$D30:D31),C163-0.5)</f>
        <v>0</v>
      </c>
      <c r="F163" s="274">
        <f>F30*POWER(1+F98,C163-0.5)/POWER(1+AVERAGE('Vedlegg 1 - Rentekurve'!$D30:D31),C163-0.5)</f>
        <v>0</v>
      </c>
      <c r="G163" s="274">
        <f t="shared" si="1"/>
        <v>0</v>
      </c>
      <c r="H163" s="33"/>
      <c r="I163" s="37"/>
    </row>
    <row r="164" spans="1:9" ht="12.75" customHeight="1">
      <c r="A164" s="32"/>
      <c r="B164" s="33"/>
      <c r="C164" s="35">
        <v>23</v>
      </c>
      <c r="D164" s="274">
        <f>D31*POWER(1+D99,C164-0.5)/POWER(1+AVERAGE('Vedlegg 1 - Rentekurve'!$D31:D32),C164-0.5)</f>
        <v>0</v>
      </c>
      <c r="E164" s="274">
        <f>E31*POWER(1+E99,C164-0.5)/POWER(1+AVERAGE('Vedlegg 1 - Rentekurve'!$D31:D32),C164-0.5)</f>
        <v>0</v>
      </c>
      <c r="F164" s="274">
        <f>F31*POWER(1+F99,C164-0.5)/POWER(1+AVERAGE('Vedlegg 1 - Rentekurve'!$D31:D32),C164-0.5)</f>
        <v>0</v>
      </c>
      <c r="G164" s="274">
        <f t="shared" si="1"/>
        <v>0</v>
      </c>
      <c r="H164" s="33"/>
      <c r="I164" s="37"/>
    </row>
    <row r="165" spans="1:9" ht="12.75" customHeight="1">
      <c r="A165" s="32"/>
      <c r="B165" s="33"/>
      <c r="C165" s="35">
        <v>24</v>
      </c>
      <c r="D165" s="274">
        <f>D32*POWER(1+D100,C165-0.5)/POWER(1+AVERAGE('Vedlegg 1 - Rentekurve'!$D32:D33),C165-0.5)</f>
        <v>0</v>
      </c>
      <c r="E165" s="274">
        <f>E32*POWER(1+E100,C165-0.5)/POWER(1+AVERAGE('Vedlegg 1 - Rentekurve'!$D32:D33),C165-0.5)</f>
        <v>0</v>
      </c>
      <c r="F165" s="274">
        <f>F32*POWER(1+F100,C165-0.5)/POWER(1+AVERAGE('Vedlegg 1 - Rentekurve'!$D32:D33),C165-0.5)</f>
        <v>0</v>
      </c>
      <c r="G165" s="274">
        <f t="shared" si="1"/>
        <v>0</v>
      </c>
      <c r="H165" s="33"/>
      <c r="I165" s="37"/>
    </row>
    <row r="166" spans="1:9" ht="12.75" customHeight="1">
      <c r="A166" s="32"/>
      <c r="B166" s="33"/>
      <c r="C166" s="35">
        <v>25</v>
      </c>
      <c r="D166" s="274">
        <f>D33*POWER(1+D101,C166-0.5)/POWER(1+AVERAGE('Vedlegg 1 - Rentekurve'!$D33:D34),C166-0.5)</f>
        <v>0</v>
      </c>
      <c r="E166" s="274">
        <f>E33*POWER(1+E101,C166-0.5)/POWER(1+AVERAGE('Vedlegg 1 - Rentekurve'!$D33:D34),C166-0.5)</f>
        <v>0</v>
      </c>
      <c r="F166" s="274">
        <f>F33*POWER(1+F101,C166-0.5)/POWER(1+AVERAGE('Vedlegg 1 - Rentekurve'!$D33:D34),C166-0.5)</f>
        <v>0</v>
      </c>
      <c r="G166" s="274">
        <f t="shared" si="1"/>
        <v>0</v>
      </c>
      <c r="H166" s="33"/>
      <c r="I166" s="37"/>
    </row>
    <row r="167" spans="1:9" ht="12.75" customHeight="1">
      <c r="A167" s="32"/>
      <c r="B167" s="33"/>
      <c r="C167" s="35">
        <v>26</v>
      </c>
      <c r="D167" s="274">
        <f>D34*POWER(1+D102,C167-0.5)/POWER(1+AVERAGE('Vedlegg 1 - Rentekurve'!$D34:D35),C167-0.5)</f>
        <v>0</v>
      </c>
      <c r="E167" s="274">
        <f>E34*POWER(1+E102,C167-0.5)/POWER(1+AVERAGE('Vedlegg 1 - Rentekurve'!$D34:D35),C167-0.5)</f>
        <v>0</v>
      </c>
      <c r="F167" s="274">
        <f>F34*POWER(1+F102,C167-0.5)/POWER(1+AVERAGE('Vedlegg 1 - Rentekurve'!$D34:D35),C167-0.5)</f>
        <v>0</v>
      </c>
      <c r="G167" s="274">
        <f t="shared" si="1"/>
        <v>0</v>
      </c>
      <c r="H167" s="33"/>
      <c r="I167" s="37"/>
    </row>
    <row r="168" spans="1:9" ht="12.75" customHeight="1">
      <c r="A168" s="32"/>
      <c r="B168" s="33"/>
      <c r="C168" s="35">
        <v>27</v>
      </c>
      <c r="D168" s="274">
        <f>D35*POWER(1+D103,C168-0.5)/POWER(1+AVERAGE('Vedlegg 1 - Rentekurve'!$D35:D36),C168-0.5)</f>
        <v>0</v>
      </c>
      <c r="E168" s="274">
        <f>E35*POWER(1+E103,C168-0.5)/POWER(1+AVERAGE('Vedlegg 1 - Rentekurve'!$D35:D36),C168-0.5)</f>
        <v>0</v>
      </c>
      <c r="F168" s="274">
        <f>F35*POWER(1+F103,C168-0.5)/POWER(1+AVERAGE('Vedlegg 1 - Rentekurve'!$D35:D36),C168-0.5)</f>
        <v>0</v>
      </c>
      <c r="G168" s="274">
        <f t="shared" si="1"/>
        <v>0</v>
      </c>
      <c r="H168" s="33"/>
      <c r="I168" s="37"/>
    </row>
    <row r="169" spans="1:9" ht="12.75" customHeight="1">
      <c r="A169" s="32"/>
      <c r="B169" s="33"/>
      <c r="C169" s="35">
        <v>28</v>
      </c>
      <c r="D169" s="274">
        <f>D36*POWER(1+D104,C169-0.5)/POWER(1+AVERAGE('Vedlegg 1 - Rentekurve'!$D36:D37),C169-0.5)</f>
        <v>0</v>
      </c>
      <c r="E169" s="274">
        <f>E36*POWER(1+E104,C169-0.5)/POWER(1+AVERAGE('Vedlegg 1 - Rentekurve'!$D36:D37),C169-0.5)</f>
        <v>0</v>
      </c>
      <c r="F169" s="274">
        <f>F36*POWER(1+F104,C169-0.5)/POWER(1+AVERAGE('Vedlegg 1 - Rentekurve'!$D36:D37),C169-0.5)</f>
        <v>0</v>
      </c>
      <c r="G169" s="274">
        <f t="shared" si="1"/>
        <v>0</v>
      </c>
      <c r="H169" s="33"/>
      <c r="I169" s="37"/>
    </row>
    <row r="170" spans="1:9" ht="12.75" customHeight="1">
      <c r="A170" s="32"/>
      <c r="B170" s="33"/>
      <c r="C170" s="35">
        <v>29</v>
      </c>
      <c r="D170" s="274">
        <f>D37*POWER(1+D105,C170-0.5)/POWER(1+AVERAGE('Vedlegg 1 - Rentekurve'!$D37:D38),C170-0.5)</f>
        <v>0</v>
      </c>
      <c r="E170" s="274">
        <f>E37*POWER(1+E105,C170-0.5)/POWER(1+AVERAGE('Vedlegg 1 - Rentekurve'!$D37:D38),C170-0.5)</f>
        <v>0</v>
      </c>
      <c r="F170" s="274">
        <f>F37*POWER(1+F105,C170-0.5)/POWER(1+AVERAGE('Vedlegg 1 - Rentekurve'!$D37:D38),C170-0.5)</f>
        <v>0</v>
      </c>
      <c r="G170" s="274">
        <f t="shared" si="1"/>
        <v>0</v>
      </c>
      <c r="H170" s="33"/>
      <c r="I170" s="37"/>
    </row>
    <row r="171" spans="1:9" ht="12.75" customHeight="1">
      <c r="A171" s="32"/>
      <c r="B171" s="33"/>
      <c r="C171" s="35">
        <v>30</v>
      </c>
      <c r="D171" s="274">
        <f>D38*POWER(1+D106,C171-0.5)/POWER(1+AVERAGE('Vedlegg 1 - Rentekurve'!$D38:D39),C171-0.5)</f>
        <v>0</v>
      </c>
      <c r="E171" s="274">
        <f>E38*POWER(1+E106,C171-0.5)/POWER(1+AVERAGE('Vedlegg 1 - Rentekurve'!$D38:D39),C171-0.5)</f>
        <v>0</v>
      </c>
      <c r="F171" s="274">
        <f>F38*POWER(1+F106,C171-0.5)/POWER(1+AVERAGE('Vedlegg 1 - Rentekurve'!$D38:D39),C171-0.5)</f>
        <v>0</v>
      </c>
      <c r="G171" s="274">
        <f t="shared" si="1"/>
        <v>0</v>
      </c>
      <c r="H171" s="33"/>
      <c r="I171" s="37"/>
    </row>
    <row r="172" spans="1:9" ht="12.75" customHeight="1">
      <c r="A172" s="32"/>
      <c r="B172" s="33"/>
      <c r="C172" s="35">
        <v>31</v>
      </c>
      <c r="D172" s="274">
        <f>D39*POWER(1+D107,C172-0.5)/POWER(1+AVERAGE('Vedlegg 1 - Rentekurve'!$D39:D40),C172-0.5)</f>
        <v>0</v>
      </c>
      <c r="E172" s="274">
        <f>E39*POWER(1+E107,C172-0.5)/POWER(1+AVERAGE('Vedlegg 1 - Rentekurve'!$D39:D40),C172-0.5)</f>
        <v>0</v>
      </c>
      <c r="F172" s="274">
        <f>F39*POWER(1+F107,C172-0.5)/POWER(1+AVERAGE('Vedlegg 1 - Rentekurve'!$D39:D40),C172-0.5)</f>
        <v>0</v>
      </c>
      <c r="G172" s="274">
        <f t="shared" ref="G172:G198" si="2">SUM(D172:F172)</f>
        <v>0</v>
      </c>
      <c r="H172" s="33"/>
      <c r="I172" s="37"/>
    </row>
    <row r="173" spans="1:9" ht="12.75" customHeight="1">
      <c r="A173" s="32"/>
      <c r="B173" s="33"/>
      <c r="C173" s="35">
        <v>32</v>
      </c>
      <c r="D173" s="274">
        <f>D40*POWER(1+D108,C173-0.5)/POWER(1+AVERAGE('Vedlegg 1 - Rentekurve'!$D40:D41),C173-0.5)</f>
        <v>0</v>
      </c>
      <c r="E173" s="274">
        <f>E40*POWER(1+E108,C173-0.5)/POWER(1+AVERAGE('Vedlegg 1 - Rentekurve'!$D40:D41),C173-0.5)</f>
        <v>0</v>
      </c>
      <c r="F173" s="274">
        <f>F40*POWER(1+F108,C173-0.5)/POWER(1+AVERAGE('Vedlegg 1 - Rentekurve'!$D40:D41),C173-0.5)</f>
        <v>0</v>
      </c>
      <c r="G173" s="274">
        <f t="shared" si="2"/>
        <v>0</v>
      </c>
      <c r="H173" s="33"/>
      <c r="I173" s="37"/>
    </row>
    <row r="174" spans="1:9" ht="12.75" customHeight="1">
      <c r="A174" s="32"/>
      <c r="B174" s="33"/>
      <c r="C174" s="35">
        <v>33</v>
      </c>
      <c r="D174" s="274">
        <f>D41*POWER(1+D109,C174-0.5)/POWER(1+AVERAGE('Vedlegg 1 - Rentekurve'!$D41:D42),C174-0.5)</f>
        <v>0</v>
      </c>
      <c r="E174" s="274">
        <f>E41*POWER(1+E109,C174-0.5)/POWER(1+AVERAGE('Vedlegg 1 - Rentekurve'!$D41:D42),C174-0.5)</f>
        <v>0</v>
      </c>
      <c r="F174" s="274">
        <f>F41*POWER(1+F109,C174-0.5)/POWER(1+AVERAGE('Vedlegg 1 - Rentekurve'!$D41:D42),C174-0.5)</f>
        <v>0</v>
      </c>
      <c r="G174" s="274">
        <f t="shared" si="2"/>
        <v>0</v>
      </c>
      <c r="H174" s="33"/>
      <c r="I174" s="37"/>
    </row>
    <row r="175" spans="1:9" ht="12.75" customHeight="1">
      <c r="A175" s="32"/>
      <c r="B175" s="33"/>
      <c r="C175" s="35">
        <v>34</v>
      </c>
      <c r="D175" s="274">
        <f>D42*POWER(1+D110,C175-0.5)/POWER(1+AVERAGE('Vedlegg 1 - Rentekurve'!$D42:D43),C175-0.5)</f>
        <v>0</v>
      </c>
      <c r="E175" s="274">
        <f>E42*POWER(1+E110,C175-0.5)/POWER(1+AVERAGE('Vedlegg 1 - Rentekurve'!$D42:D43),C175-0.5)</f>
        <v>0</v>
      </c>
      <c r="F175" s="274">
        <f>F42*POWER(1+F110,C175-0.5)/POWER(1+AVERAGE('Vedlegg 1 - Rentekurve'!$D42:D43),C175-0.5)</f>
        <v>0</v>
      </c>
      <c r="G175" s="274">
        <f t="shared" si="2"/>
        <v>0</v>
      </c>
      <c r="H175" s="33"/>
      <c r="I175" s="37"/>
    </row>
    <row r="176" spans="1:9" ht="12.75" customHeight="1">
      <c r="A176" s="32"/>
      <c r="B176" s="33"/>
      <c r="C176" s="35">
        <v>35</v>
      </c>
      <c r="D176" s="274">
        <f>D43*POWER(1+D111,C176-0.5)/POWER(1+AVERAGE('Vedlegg 1 - Rentekurve'!$D43:D44),C176-0.5)</f>
        <v>0</v>
      </c>
      <c r="E176" s="274">
        <f>E43*POWER(1+E111,C176-0.5)/POWER(1+AVERAGE('Vedlegg 1 - Rentekurve'!$D43:D44),C176-0.5)</f>
        <v>0</v>
      </c>
      <c r="F176" s="274">
        <f>F43*POWER(1+F111,C176-0.5)/POWER(1+AVERAGE('Vedlegg 1 - Rentekurve'!$D43:D44),C176-0.5)</f>
        <v>0</v>
      </c>
      <c r="G176" s="274">
        <f t="shared" si="2"/>
        <v>0</v>
      </c>
      <c r="H176" s="33"/>
      <c r="I176" s="37"/>
    </row>
    <row r="177" spans="1:9" ht="12.75" customHeight="1">
      <c r="A177" s="32"/>
      <c r="B177" s="33"/>
      <c r="C177" s="35">
        <v>36</v>
      </c>
      <c r="D177" s="274">
        <f>D44*POWER(1+D112,C177-0.5)/POWER(1+AVERAGE('Vedlegg 1 - Rentekurve'!$D44:D45),C177-0.5)</f>
        <v>0</v>
      </c>
      <c r="E177" s="274">
        <f>E44*POWER(1+E112,C177-0.5)/POWER(1+AVERAGE('Vedlegg 1 - Rentekurve'!$D44:D45),C177-0.5)</f>
        <v>0</v>
      </c>
      <c r="F177" s="274">
        <f>F44*POWER(1+F112,C177-0.5)/POWER(1+AVERAGE('Vedlegg 1 - Rentekurve'!$D44:D45),C177-0.5)</f>
        <v>0</v>
      </c>
      <c r="G177" s="274">
        <f t="shared" si="2"/>
        <v>0</v>
      </c>
      <c r="H177" s="33"/>
      <c r="I177" s="37"/>
    </row>
    <row r="178" spans="1:9" ht="12.75" customHeight="1">
      <c r="A178" s="32"/>
      <c r="B178" s="33"/>
      <c r="C178" s="35">
        <v>37</v>
      </c>
      <c r="D178" s="274">
        <f>D45*POWER(1+D113,C178-0.5)/POWER(1+AVERAGE('Vedlegg 1 - Rentekurve'!$D45:D46),C178-0.5)</f>
        <v>0</v>
      </c>
      <c r="E178" s="274">
        <f>E45*POWER(1+E113,C178-0.5)/POWER(1+AVERAGE('Vedlegg 1 - Rentekurve'!$D45:D46),C178-0.5)</f>
        <v>0</v>
      </c>
      <c r="F178" s="274">
        <f>F45*POWER(1+F113,C178-0.5)/POWER(1+AVERAGE('Vedlegg 1 - Rentekurve'!$D45:D46),C178-0.5)</f>
        <v>0</v>
      </c>
      <c r="G178" s="274">
        <f t="shared" si="2"/>
        <v>0</v>
      </c>
      <c r="H178" s="33"/>
      <c r="I178" s="37"/>
    </row>
    <row r="179" spans="1:9" ht="12.75" customHeight="1">
      <c r="A179" s="32"/>
      <c r="B179" s="33"/>
      <c r="C179" s="35">
        <v>38</v>
      </c>
      <c r="D179" s="274">
        <f>D46*POWER(1+D114,C179-0.5)/POWER(1+AVERAGE('Vedlegg 1 - Rentekurve'!$D46:D47),C179-0.5)</f>
        <v>0</v>
      </c>
      <c r="E179" s="274">
        <f>E46*POWER(1+E114,C179-0.5)/POWER(1+AVERAGE('Vedlegg 1 - Rentekurve'!$D46:D47),C179-0.5)</f>
        <v>0</v>
      </c>
      <c r="F179" s="274">
        <f>F46*POWER(1+F114,C179-0.5)/POWER(1+AVERAGE('Vedlegg 1 - Rentekurve'!$D46:D47),C179-0.5)</f>
        <v>0</v>
      </c>
      <c r="G179" s="274">
        <f t="shared" si="2"/>
        <v>0</v>
      </c>
      <c r="H179" s="33"/>
      <c r="I179" s="37"/>
    </row>
    <row r="180" spans="1:9" ht="12.75" customHeight="1">
      <c r="A180" s="32"/>
      <c r="B180" s="33"/>
      <c r="C180" s="35">
        <v>39</v>
      </c>
      <c r="D180" s="274">
        <f>D47*POWER(1+D115,C180-0.5)/POWER(1+AVERAGE('Vedlegg 1 - Rentekurve'!$D47:D48),C180-0.5)</f>
        <v>0</v>
      </c>
      <c r="E180" s="274">
        <f>E47*POWER(1+E115,C180-0.5)/POWER(1+AVERAGE('Vedlegg 1 - Rentekurve'!$D47:D48),C180-0.5)</f>
        <v>0</v>
      </c>
      <c r="F180" s="274">
        <f>F47*POWER(1+F115,C180-0.5)/POWER(1+AVERAGE('Vedlegg 1 - Rentekurve'!$D47:D48),C180-0.5)</f>
        <v>0</v>
      </c>
      <c r="G180" s="274">
        <f t="shared" si="2"/>
        <v>0</v>
      </c>
      <c r="H180" s="33"/>
      <c r="I180" s="37"/>
    </row>
    <row r="181" spans="1:9" ht="12.75" customHeight="1">
      <c r="A181" s="32"/>
      <c r="B181" s="33"/>
      <c r="C181" s="35">
        <v>40</v>
      </c>
      <c r="D181" s="274">
        <f>D48*POWER(1+D116,C181-0.5)/POWER(1+AVERAGE('Vedlegg 1 - Rentekurve'!$D48:D49),C181-0.5)</f>
        <v>0</v>
      </c>
      <c r="E181" s="274">
        <f>E48*POWER(1+E116,C181-0.5)/POWER(1+AVERAGE('Vedlegg 1 - Rentekurve'!$D48:D49),C181-0.5)</f>
        <v>0</v>
      </c>
      <c r="F181" s="274">
        <f>F48*POWER(1+F116,C181-0.5)/POWER(1+AVERAGE('Vedlegg 1 - Rentekurve'!$D48:D49),C181-0.5)</f>
        <v>0</v>
      </c>
      <c r="G181" s="274">
        <f t="shared" si="2"/>
        <v>0</v>
      </c>
      <c r="H181" s="33"/>
      <c r="I181" s="37"/>
    </row>
    <row r="182" spans="1:9" ht="12.75" customHeight="1">
      <c r="A182" s="32"/>
      <c r="B182" s="33"/>
      <c r="C182" s="35">
        <v>41</v>
      </c>
      <c r="D182" s="274">
        <f>D49*POWER(1+D117,C182-0.5)/POWER(1+AVERAGE('Vedlegg 1 - Rentekurve'!$D49:D50),C182-0.5)</f>
        <v>0</v>
      </c>
      <c r="E182" s="274">
        <f>E49*POWER(1+E117,C182-0.5)/POWER(1+AVERAGE('Vedlegg 1 - Rentekurve'!$D49:D50),C182-0.5)</f>
        <v>0</v>
      </c>
      <c r="F182" s="274">
        <f>F49*POWER(1+F117,C182-0.5)/POWER(1+AVERAGE('Vedlegg 1 - Rentekurve'!$D49:D50),C182-0.5)</f>
        <v>0</v>
      </c>
      <c r="G182" s="274">
        <f t="shared" si="2"/>
        <v>0</v>
      </c>
      <c r="H182" s="33"/>
      <c r="I182" s="37"/>
    </row>
    <row r="183" spans="1:9" ht="12.75" customHeight="1">
      <c r="A183" s="32"/>
      <c r="B183" s="33"/>
      <c r="C183" s="35">
        <v>42</v>
      </c>
      <c r="D183" s="274">
        <f>D50*POWER(1+D118,C183-0.5)/POWER(1+AVERAGE('Vedlegg 1 - Rentekurve'!$D50:D51),C183-0.5)</f>
        <v>0</v>
      </c>
      <c r="E183" s="274">
        <f>E50*POWER(1+E118,C183-0.5)/POWER(1+AVERAGE('Vedlegg 1 - Rentekurve'!$D50:D51),C183-0.5)</f>
        <v>0</v>
      </c>
      <c r="F183" s="274">
        <f>F50*POWER(1+F118,C183-0.5)/POWER(1+AVERAGE('Vedlegg 1 - Rentekurve'!$D50:D51),C183-0.5)</f>
        <v>0</v>
      </c>
      <c r="G183" s="274">
        <f t="shared" si="2"/>
        <v>0</v>
      </c>
      <c r="H183" s="33"/>
      <c r="I183" s="37"/>
    </row>
    <row r="184" spans="1:9" ht="12.75" customHeight="1">
      <c r="A184" s="32"/>
      <c r="B184" s="33"/>
      <c r="C184" s="35">
        <v>43</v>
      </c>
      <c r="D184" s="274">
        <f>D51*POWER(1+D119,C184-0.5)/POWER(1+AVERAGE('Vedlegg 1 - Rentekurve'!$D51:D52),C184-0.5)</f>
        <v>0</v>
      </c>
      <c r="E184" s="274">
        <f>E51*POWER(1+E119,C184-0.5)/POWER(1+AVERAGE('Vedlegg 1 - Rentekurve'!$D51:D52),C184-0.5)</f>
        <v>0</v>
      </c>
      <c r="F184" s="274">
        <f>F51*POWER(1+F119,C184-0.5)/POWER(1+AVERAGE('Vedlegg 1 - Rentekurve'!$D51:D52),C184-0.5)</f>
        <v>0</v>
      </c>
      <c r="G184" s="274">
        <f t="shared" si="2"/>
        <v>0</v>
      </c>
      <c r="H184" s="33"/>
      <c r="I184" s="37"/>
    </row>
    <row r="185" spans="1:9" ht="12.75" customHeight="1">
      <c r="A185" s="32"/>
      <c r="B185" s="33"/>
      <c r="C185" s="35">
        <v>44</v>
      </c>
      <c r="D185" s="274">
        <f>D52*POWER(1+D120,C185-0.5)/POWER(1+AVERAGE('Vedlegg 1 - Rentekurve'!$D52:D53),C185-0.5)</f>
        <v>0</v>
      </c>
      <c r="E185" s="274">
        <f>E52*POWER(1+E120,C185-0.5)/POWER(1+AVERAGE('Vedlegg 1 - Rentekurve'!$D52:D53),C185-0.5)</f>
        <v>0</v>
      </c>
      <c r="F185" s="274">
        <f>F52*POWER(1+F120,C185-0.5)/POWER(1+AVERAGE('Vedlegg 1 - Rentekurve'!$D52:D53),C185-0.5)</f>
        <v>0</v>
      </c>
      <c r="G185" s="274">
        <f t="shared" si="2"/>
        <v>0</v>
      </c>
      <c r="H185" s="33"/>
      <c r="I185" s="37"/>
    </row>
    <row r="186" spans="1:9" ht="12.75" customHeight="1">
      <c r="A186" s="32"/>
      <c r="B186" s="33"/>
      <c r="C186" s="35">
        <v>45</v>
      </c>
      <c r="D186" s="274">
        <f>D53*POWER(1+D121,C186-0.5)/POWER(1+AVERAGE('Vedlegg 1 - Rentekurve'!$D53:D54),C186-0.5)</f>
        <v>0</v>
      </c>
      <c r="E186" s="274">
        <f>E53*POWER(1+E121,C186-0.5)/POWER(1+AVERAGE('Vedlegg 1 - Rentekurve'!$D53:D54),C186-0.5)</f>
        <v>0</v>
      </c>
      <c r="F186" s="274">
        <f>F53*POWER(1+F121,C186-0.5)/POWER(1+AVERAGE('Vedlegg 1 - Rentekurve'!$D53:D54),C186-0.5)</f>
        <v>0</v>
      </c>
      <c r="G186" s="274">
        <f t="shared" si="2"/>
        <v>0</v>
      </c>
      <c r="H186" s="33"/>
      <c r="I186" s="37"/>
    </row>
    <row r="187" spans="1:9" ht="12.75" customHeight="1">
      <c r="A187" s="32"/>
      <c r="B187" s="33"/>
      <c r="C187" s="35">
        <v>46</v>
      </c>
      <c r="D187" s="274">
        <f>D54*POWER(1+D122,C187-0.5)/POWER(1+AVERAGE('Vedlegg 1 - Rentekurve'!$D54:D55),C187-0.5)</f>
        <v>0</v>
      </c>
      <c r="E187" s="274">
        <f>E54*POWER(1+E122,C187-0.5)/POWER(1+AVERAGE('Vedlegg 1 - Rentekurve'!$D54:D55),C187-0.5)</f>
        <v>0</v>
      </c>
      <c r="F187" s="274">
        <f>F54*POWER(1+F122,C187-0.5)/POWER(1+AVERAGE('Vedlegg 1 - Rentekurve'!$D54:D55),C187-0.5)</f>
        <v>0</v>
      </c>
      <c r="G187" s="274">
        <f t="shared" si="2"/>
        <v>0</v>
      </c>
      <c r="H187" s="33"/>
      <c r="I187" s="37"/>
    </row>
    <row r="188" spans="1:9" ht="12.75" customHeight="1">
      <c r="A188" s="32"/>
      <c r="B188" s="33"/>
      <c r="C188" s="35">
        <v>47</v>
      </c>
      <c r="D188" s="274">
        <f>D55*POWER(1+D123,C188-0.5)/POWER(1+AVERAGE('Vedlegg 1 - Rentekurve'!$D55:D56),C188-0.5)</f>
        <v>0</v>
      </c>
      <c r="E188" s="274">
        <f>E55*POWER(1+E123,C188-0.5)/POWER(1+AVERAGE('Vedlegg 1 - Rentekurve'!$D55:D56),C188-0.5)</f>
        <v>0</v>
      </c>
      <c r="F188" s="274">
        <f>F55*POWER(1+F123,C188-0.5)/POWER(1+AVERAGE('Vedlegg 1 - Rentekurve'!$D55:D56),C188-0.5)</f>
        <v>0</v>
      </c>
      <c r="G188" s="274">
        <f t="shared" si="2"/>
        <v>0</v>
      </c>
      <c r="H188" s="33"/>
      <c r="I188" s="37"/>
    </row>
    <row r="189" spans="1:9" ht="12.75" customHeight="1">
      <c r="A189" s="32"/>
      <c r="B189" s="33"/>
      <c r="C189" s="35">
        <v>48</v>
      </c>
      <c r="D189" s="274">
        <f>D56*POWER(1+D124,C189-0.5)/POWER(1+AVERAGE('Vedlegg 1 - Rentekurve'!$D56:D57),C189-0.5)</f>
        <v>0</v>
      </c>
      <c r="E189" s="274">
        <f>E56*POWER(1+E124,C189-0.5)/POWER(1+AVERAGE('Vedlegg 1 - Rentekurve'!$D56:D57),C189-0.5)</f>
        <v>0</v>
      </c>
      <c r="F189" s="274">
        <f>F56*POWER(1+F124,C189-0.5)/POWER(1+AVERAGE('Vedlegg 1 - Rentekurve'!$D56:D57),C189-0.5)</f>
        <v>0</v>
      </c>
      <c r="G189" s="274">
        <f t="shared" si="2"/>
        <v>0</v>
      </c>
      <c r="H189" s="33"/>
      <c r="I189" s="37"/>
    </row>
    <row r="190" spans="1:9" ht="12.75" customHeight="1">
      <c r="A190" s="32"/>
      <c r="B190" s="33"/>
      <c r="C190" s="35">
        <v>49</v>
      </c>
      <c r="D190" s="274">
        <f>D57*POWER(1+D125,C190-0.5)/POWER(1+AVERAGE('Vedlegg 1 - Rentekurve'!$D57:D58),C190-0.5)</f>
        <v>0</v>
      </c>
      <c r="E190" s="274">
        <f>E57*POWER(1+E125,C190-0.5)/POWER(1+AVERAGE('Vedlegg 1 - Rentekurve'!$D57:D58),C190-0.5)</f>
        <v>0</v>
      </c>
      <c r="F190" s="274">
        <f>F57*POWER(1+F125,C190-0.5)/POWER(1+AVERAGE('Vedlegg 1 - Rentekurve'!$D57:D58),C190-0.5)</f>
        <v>0</v>
      </c>
      <c r="G190" s="274">
        <f t="shared" si="2"/>
        <v>0</v>
      </c>
      <c r="H190" s="33"/>
      <c r="I190" s="37"/>
    </row>
    <row r="191" spans="1:9" ht="12.75" customHeight="1">
      <c r="A191" s="32"/>
      <c r="B191" s="33"/>
      <c r="C191" s="35">
        <v>50</v>
      </c>
      <c r="D191" s="274">
        <f>D58*POWER(1+D126,C191-0.5)/POWER(1+AVERAGE('Vedlegg 1 - Rentekurve'!$D58:D59),C191-0.5)</f>
        <v>0</v>
      </c>
      <c r="E191" s="274">
        <f>E58*POWER(1+E126,C191-0.5)/POWER(1+AVERAGE('Vedlegg 1 - Rentekurve'!$D58:D59),C191-0.5)</f>
        <v>0</v>
      </c>
      <c r="F191" s="274">
        <f>F58*POWER(1+F126,C191-0.5)/POWER(1+AVERAGE('Vedlegg 1 - Rentekurve'!$D58:D59),C191-0.5)</f>
        <v>0</v>
      </c>
      <c r="G191" s="274">
        <f t="shared" si="2"/>
        <v>0</v>
      </c>
      <c r="H191" s="33"/>
      <c r="I191" s="37"/>
    </row>
    <row r="192" spans="1:9" ht="12.75" customHeight="1">
      <c r="A192" s="32"/>
      <c r="B192" s="33"/>
      <c r="C192" s="35">
        <v>51</v>
      </c>
      <c r="D192" s="274">
        <f>D59*POWER(1+D127,C192-0.5)/POWER(1+AVERAGE('Vedlegg 1 - Rentekurve'!$D59:D60),C192-0.5)</f>
        <v>0</v>
      </c>
      <c r="E192" s="274">
        <f>E59*POWER(1+E127,C192-0.5)/POWER(1+AVERAGE('Vedlegg 1 - Rentekurve'!$D59:D60),C192-0.5)</f>
        <v>0</v>
      </c>
      <c r="F192" s="274">
        <f>F59*POWER(1+F127,C192-0.5)/POWER(1+AVERAGE('Vedlegg 1 - Rentekurve'!$D59:D60),C192-0.5)</f>
        <v>0</v>
      </c>
      <c r="G192" s="274">
        <f t="shared" si="2"/>
        <v>0</v>
      </c>
      <c r="H192" s="33"/>
      <c r="I192" s="37"/>
    </row>
    <row r="193" spans="1:9" ht="12.75" customHeight="1">
      <c r="A193" s="32"/>
      <c r="B193" s="33"/>
      <c r="C193" s="35">
        <v>52</v>
      </c>
      <c r="D193" s="274">
        <f>D60*POWER(1+D128,C193-0.5)/POWER(1+AVERAGE('Vedlegg 1 - Rentekurve'!$D60:D61),C193-0.5)</f>
        <v>0</v>
      </c>
      <c r="E193" s="274">
        <f>E60*POWER(1+E128,C193-0.5)/POWER(1+AVERAGE('Vedlegg 1 - Rentekurve'!$D60:D61),C193-0.5)</f>
        <v>0</v>
      </c>
      <c r="F193" s="274">
        <f>F60*POWER(1+F128,C193-0.5)/POWER(1+AVERAGE('Vedlegg 1 - Rentekurve'!$D60:D61),C193-0.5)</f>
        <v>0</v>
      </c>
      <c r="G193" s="274">
        <f t="shared" si="2"/>
        <v>0</v>
      </c>
      <c r="H193" s="33"/>
      <c r="I193" s="37"/>
    </row>
    <row r="194" spans="1:9" ht="12.75" customHeight="1">
      <c r="A194" s="32"/>
      <c r="B194" s="33"/>
      <c r="C194" s="35">
        <v>53</v>
      </c>
      <c r="D194" s="274">
        <f>D61*POWER(1+D129,C194-0.5)/POWER(1+AVERAGE('Vedlegg 1 - Rentekurve'!$D61:D62),C194-0.5)</f>
        <v>0</v>
      </c>
      <c r="E194" s="274">
        <f>E61*POWER(1+E129,C194-0.5)/POWER(1+AVERAGE('Vedlegg 1 - Rentekurve'!$D61:D62),C194-0.5)</f>
        <v>0</v>
      </c>
      <c r="F194" s="274">
        <f>F61*POWER(1+F129,C194-0.5)/POWER(1+AVERAGE('Vedlegg 1 - Rentekurve'!$D61:D62),C194-0.5)</f>
        <v>0</v>
      </c>
      <c r="G194" s="274">
        <f t="shared" si="2"/>
        <v>0</v>
      </c>
      <c r="H194" s="33"/>
      <c r="I194" s="37"/>
    </row>
    <row r="195" spans="1:9" ht="12.75" customHeight="1">
      <c r="A195" s="32"/>
      <c r="B195" s="33"/>
      <c r="C195" s="35">
        <v>54</v>
      </c>
      <c r="D195" s="274">
        <f>D62*POWER(1+D130,C195-0.5)/POWER(1+AVERAGE('Vedlegg 1 - Rentekurve'!$D62:D63),C195-0.5)</f>
        <v>0</v>
      </c>
      <c r="E195" s="274">
        <f>E62*POWER(1+E130,C195-0.5)/POWER(1+AVERAGE('Vedlegg 1 - Rentekurve'!$D62:D63),C195-0.5)</f>
        <v>0</v>
      </c>
      <c r="F195" s="274">
        <f>F62*POWER(1+F130,C195-0.5)/POWER(1+AVERAGE('Vedlegg 1 - Rentekurve'!$D62:D63),C195-0.5)</f>
        <v>0</v>
      </c>
      <c r="G195" s="274">
        <f t="shared" si="2"/>
        <v>0</v>
      </c>
      <c r="H195" s="33"/>
      <c r="I195" s="37"/>
    </row>
    <row r="196" spans="1:9" ht="12.75" customHeight="1">
      <c r="A196" s="32"/>
      <c r="B196" s="33"/>
      <c r="C196" s="35">
        <v>55</v>
      </c>
      <c r="D196" s="274">
        <f>D63*POWER(1+D131,C196-0.5)/POWER(1+AVERAGE('Vedlegg 1 - Rentekurve'!$D63:D64),C196-0.5)</f>
        <v>0</v>
      </c>
      <c r="E196" s="274">
        <f>E63*POWER(1+E131,C196-0.5)/POWER(1+AVERAGE('Vedlegg 1 - Rentekurve'!$D63:D64),C196-0.5)</f>
        <v>0</v>
      </c>
      <c r="F196" s="274">
        <f>F63*POWER(1+F131,C196-0.5)/POWER(1+AVERAGE('Vedlegg 1 - Rentekurve'!$D63:D64),C196-0.5)</f>
        <v>0</v>
      </c>
      <c r="G196" s="274">
        <f t="shared" si="2"/>
        <v>0</v>
      </c>
      <c r="H196" s="33"/>
      <c r="I196" s="37"/>
    </row>
    <row r="197" spans="1:9" ht="12.75" customHeight="1">
      <c r="A197" s="32"/>
      <c r="B197" s="33"/>
      <c r="C197" s="35">
        <v>56</v>
      </c>
      <c r="D197" s="274">
        <f>D64*POWER(1+D132,C197-0.5)/POWER(1+AVERAGE('Vedlegg 1 - Rentekurve'!$D64:D65),C197-0.5)</f>
        <v>0</v>
      </c>
      <c r="E197" s="274">
        <f>E64*POWER(1+E132,C197-0.5)/POWER(1+AVERAGE('Vedlegg 1 - Rentekurve'!$D64:D65),C197-0.5)</f>
        <v>0</v>
      </c>
      <c r="F197" s="274">
        <f>F64*POWER(1+F132,C197-0.5)/POWER(1+AVERAGE('Vedlegg 1 - Rentekurve'!$D64:D65),C197-0.5)</f>
        <v>0</v>
      </c>
      <c r="G197" s="274">
        <f t="shared" si="2"/>
        <v>0</v>
      </c>
      <c r="H197" s="33"/>
      <c r="I197" s="37"/>
    </row>
    <row r="198" spans="1:9" ht="12.75" customHeight="1">
      <c r="A198" s="32"/>
      <c r="B198" s="33"/>
      <c r="C198" s="35">
        <v>57</v>
      </c>
      <c r="D198" s="274">
        <f>D65*POWER(1+D133,C198-0.5)/POWER(1+AVERAGE('Vedlegg 1 - Rentekurve'!$D65:D66),C198-0.5)</f>
        <v>0</v>
      </c>
      <c r="E198" s="274">
        <f>E65*POWER(1+E133,C198-0.5)/POWER(1+AVERAGE('Vedlegg 1 - Rentekurve'!$D65:D66),C198-0.5)</f>
        <v>0</v>
      </c>
      <c r="F198" s="274">
        <f>F65*POWER(1+F133,C198-0.5)/POWER(1+AVERAGE('Vedlegg 1 - Rentekurve'!$D65:D66),C198-0.5)</f>
        <v>0</v>
      </c>
      <c r="G198" s="274">
        <f t="shared" si="2"/>
        <v>0</v>
      </c>
      <c r="H198" s="33"/>
      <c r="I198" s="37"/>
    </row>
    <row r="199" spans="1:9" ht="12.75" customHeight="1">
      <c r="A199" s="32"/>
      <c r="B199" s="33"/>
      <c r="C199" s="35">
        <v>58</v>
      </c>
      <c r="D199" s="274">
        <f>D66*POWER(1+D134,C199-0.5)/POWER(1+AVERAGE('Vedlegg 1 - Rentekurve'!$D66:D67),C199-0.5)</f>
        <v>0</v>
      </c>
      <c r="E199" s="274">
        <f>E66*POWER(1+E134,C199-0.5)/POWER(1+AVERAGE('Vedlegg 1 - Rentekurve'!$D66:D67),C199-0.5)</f>
        <v>0</v>
      </c>
      <c r="F199" s="274">
        <f>F66*POWER(1+F134,C199-0.5)/POWER(1+AVERAGE('Vedlegg 1 - Rentekurve'!$D66:D67),C199-0.5)</f>
        <v>0</v>
      </c>
      <c r="G199" s="274">
        <f t="shared" ref="G199:G201" si="3">SUM(D199:F199)</f>
        <v>0</v>
      </c>
      <c r="H199" s="33"/>
      <c r="I199" s="37"/>
    </row>
    <row r="200" spans="1:9" ht="12.75" customHeight="1">
      <c r="A200" s="32"/>
      <c r="B200" s="33"/>
      <c r="C200" s="35">
        <v>59</v>
      </c>
      <c r="D200" s="274">
        <f>D67*POWER(1+D135,C200-0.5)/POWER(1+AVERAGE('Vedlegg 1 - Rentekurve'!$D67:D68),C200-0.5)</f>
        <v>0</v>
      </c>
      <c r="E200" s="274">
        <f>E67*POWER(1+E135,C200-0.5)/POWER(1+AVERAGE('Vedlegg 1 - Rentekurve'!$D67:D68),C200-0.5)</f>
        <v>0</v>
      </c>
      <c r="F200" s="274">
        <f>F67*POWER(1+F135,C200-0.5)/POWER(1+AVERAGE('Vedlegg 1 - Rentekurve'!$D67:D68),C200-0.5)</f>
        <v>0</v>
      </c>
      <c r="G200" s="274">
        <f t="shared" si="3"/>
        <v>0</v>
      </c>
      <c r="H200" s="33"/>
      <c r="I200" s="37"/>
    </row>
    <row r="201" spans="1:9" ht="12.75" customHeight="1">
      <c r="A201" s="32"/>
      <c r="B201" s="33"/>
      <c r="C201" s="35">
        <v>60</v>
      </c>
      <c r="D201" s="274">
        <f>D68*POWER(1+D136,C201-0.5)/POWER(1+AVERAGE('Vedlegg 1 - Rentekurve'!$D68:D69),C201-0.5)</f>
        <v>0</v>
      </c>
      <c r="E201" s="274">
        <f>E68*POWER(1+E136,C201-0.5)/POWER(1+AVERAGE('Vedlegg 1 - Rentekurve'!$D68:D69),C201-0.5)</f>
        <v>0</v>
      </c>
      <c r="F201" s="274">
        <f>F68*POWER(1+F136,C201-0.5)/POWER(1+AVERAGE('Vedlegg 1 - Rentekurve'!$D68:D69),C201-0.5)</f>
        <v>0</v>
      </c>
      <c r="G201" s="274">
        <f t="shared" si="3"/>
        <v>0</v>
      </c>
      <c r="H201" s="33"/>
      <c r="I201" s="37"/>
    </row>
    <row r="202" spans="1:9" ht="15.9" customHeight="1">
      <c r="A202" s="32"/>
      <c r="B202" s="259" t="s">
        <v>599</v>
      </c>
      <c r="C202" s="259"/>
      <c r="D202" s="396">
        <f>SUM(D142:D201)</f>
        <v>0</v>
      </c>
      <c r="E202" s="396">
        <f>SUM(E142:E201)</f>
        <v>0</v>
      </c>
      <c r="F202" s="396">
        <f>SUM(F142:F201)</f>
        <v>0</v>
      </c>
      <c r="G202" s="396">
        <f t="shared" si="1"/>
        <v>0</v>
      </c>
      <c r="H202" s="33"/>
      <c r="I202" s="37"/>
    </row>
    <row r="203" spans="1:9" ht="15.9" customHeight="1">
      <c r="A203" s="32"/>
      <c r="B203" s="33"/>
      <c r="C203" s="259"/>
      <c r="D203" s="263"/>
      <c r="E203" s="263"/>
      <c r="F203" s="263"/>
      <c r="G203" s="33"/>
      <c r="H203" s="33"/>
      <c r="I203" s="37"/>
    </row>
    <row r="204" spans="1:9" ht="15.9" customHeight="1">
      <c r="A204" s="32"/>
      <c r="B204" s="33"/>
      <c r="C204" s="259"/>
      <c r="D204" s="263"/>
      <c r="E204" s="263"/>
      <c r="F204" s="263"/>
      <c r="G204" s="263"/>
      <c r="H204" s="33"/>
      <c r="I204" s="37"/>
    </row>
    <row r="205" spans="1:9" ht="15.9" customHeight="1">
      <c r="A205" s="32"/>
      <c r="B205" s="60" t="s">
        <v>600</v>
      </c>
      <c r="C205" s="431" t="s">
        <v>601</v>
      </c>
      <c r="D205" s="431"/>
      <c r="E205" s="431"/>
      <c r="F205" s="431"/>
      <c r="G205" s="429"/>
      <c r="H205" s="429"/>
      <c r="I205" s="37"/>
    </row>
    <row r="206" spans="1:9" ht="15.9" customHeight="1">
      <c r="A206" s="32"/>
      <c r="B206" s="33"/>
      <c r="C206" s="259"/>
      <c r="D206" s="263"/>
      <c r="E206" s="263"/>
      <c r="F206" s="263"/>
      <c r="G206" s="263"/>
      <c r="H206" s="33"/>
      <c r="I206" s="37"/>
    </row>
    <row r="207" spans="1:9" ht="20.149999999999999" customHeight="1">
      <c r="A207" s="32"/>
      <c r="B207" s="259" t="s">
        <v>602</v>
      </c>
      <c r="C207" s="246" t="s">
        <v>591</v>
      </c>
      <c r="D207" s="247" t="s">
        <v>56</v>
      </c>
      <c r="E207" s="247" t="s">
        <v>57</v>
      </c>
      <c r="F207" s="247" t="s">
        <v>58</v>
      </c>
      <c r="G207" s="247" t="s">
        <v>61</v>
      </c>
      <c r="H207" s="263"/>
      <c r="I207" s="37"/>
    </row>
    <row r="208" spans="1:9" ht="12.75" customHeight="1">
      <c r="A208" s="32"/>
      <c r="B208" s="33"/>
      <c r="C208" s="35">
        <v>1</v>
      </c>
      <c r="D208" s="274">
        <f t="shared" ref="D208:E234" si="4">MAXA(D9-D142,0)</f>
        <v>0</v>
      </c>
      <c r="E208" s="274">
        <f t="shared" si="4"/>
        <v>0</v>
      </c>
      <c r="F208" s="274">
        <f t="shared" ref="F208:F234" si="5">0.8*MAXA(F9-F142,0)</f>
        <v>0</v>
      </c>
      <c r="G208" s="274">
        <f t="shared" ref="G208:G268" si="6">SUM(D208:F208)</f>
        <v>0</v>
      </c>
      <c r="H208" s="263"/>
      <c r="I208" s="37"/>
    </row>
    <row r="209" spans="1:9" ht="12.75" customHeight="1">
      <c r="A209" s="32"/>
      <c r="B209" s="33"/>
      <c r="C209" s="35">
        <v>2</v>
      </c>
      <c r="D209" s="274">
        <f t="shared" si="4"/>
        <v>0</v>
      </c>
      <c r="E209" s="274">
        <f t="shared" si="4"/>
        <v>0</v>
      </c>
      <c r="F209" s="274">
        <f t="shared" si="5"/>
        <v>0</v>
      </c>
      <c r="G209" s="274">
        <f t="shared" si="6"/>
        <v>0</v>
      </c>
      <c r="H209" s="263"/>
      <c r="I209" s="37"/>
    </row>
    <row r="210" spans="1:9" ht="12.75" customHeight="1">
      <c r="A210" s="32"/>
      <c r="B210" s="33"/>
      <c r="C210" s="35">
        <v>3</v>
      </c>
      <c r="D210" s="274">
        <f t="shared" si="4"/>
        <v>0</v>
      </c>
      <c r="E210" s="274">
        <f t="shared" si="4"/>
        <v>0</v>
      </c>
      <c r="F210" s="274">
        <f t="shared" si="5"/>
        <v>0</v>
      </c>
      <c r="G210" s="274">
        <f t="shared" si="6"/>
        <v>0</v>
      </c>
      <c r="H210" s="263"/>
      <c r="I210" s="37"/>
    </row>
    <row r="211" spans="1:9" ht="12.75" customHeight="1">
      <c r="A211" s="32"/>
      <c r="B211" s="33"/>
      <c r="C211" s="35">
        <v>4</v>
      </c>
      <c r="D211" s="274">
        <f t="shared" si="4"/>
        <v>0</v>
      </c>
      <c r="E211" s="274">
        <f t="shared" si="4"/>
        <v>0</v>
      </c>
      <c r="F211" s="274">
        <f t="shared" si="5"/>
        <v>0</v>
      </c>
      <c r="G211" s="274">
        <f t="shared" si="6"/>
        <v>0</v>
      </c>
      <c r="H211" s="263"/>
      <c r="I211" s="37"/>
    </row>
    <row r="212" spans="1:9" ht="12.75" customHeight="1">
      <c r="A212" s="32"/>
      <c r="B212" s="33"/>
      <c r="C212" s="35">
        <v>5</v>
      </c>
      <c r="D212" s="274">
        <f t="shared" si="4"/>
        <v>0</v>
      </c>
      <c r="E212" s="274">
        <f t="shared" si="4"/>
        <v>0</v>
      </c>
      <c r="F212" s="274">
        <f t="shared" si="5"/>
        <v>0</v>
      </c>
      <c r="G212" s="274">
        <f t="shared" si="6"/>
        <v>0</v>
      </c>
      <c r="H212" s="263"/>
      <c r="I212" s="37"/>
    </row>
    <row r="213" spans="1:9" ht="12.75" customHeight="1">
      <c r="A213" s="32"/>
      <c r="B213" s="33"/>
      <c r="C213" s="35">
        <v>6</v>
      </c>
      <c r="D213" s="274">
        <f t="shared" si="4"/>
        <v>0</v>
      </c>
      <c r="E213" s="274">
        <f t="shared" si="4"/>
        <v>0</v>
      </c>
      <c r="F213" s="274">
        <f t="shared" si="5"/>
        <v>0</v>
      </c>
      <c r="G213" s="274">
        <f t="shared" si="6"/>
        <v>0</v>
      </c>
      <c r="H213" s="263"/>
      <c r="I213" s="37"/>
    </row>
    <row r="214" spans="1:9" ht="12.75" customHeight="1">
      <c r="A214" s="32"/>
      <c r="B214" s="33"/>
      <c r="C214" s="35">
        <v>7</v>
      </c>
      <c r="D214" s="274">
        <f t="shared" si="4"/>
        <v>0</v>
      </c>
      <c r="E214" s="274">
        <f t="shared" si="4"/>
        <v>0</v>
      </c>
      <c r="F214" s="274">
        <f t="shared" si="5"/>
        <v>0</v>
      </c>
      <c r="G214" s="274">
        <f t="shared" si="6"/>
        <v>0</v>
      </c>
      <c r="H214" s="263"/>
      <c r="I214" s="37"/>
    </row>
    <row r="215" spans="1:9" ht="12.75" customHeight="1">
      <c r="A215" s="32"/>
      <c r="B215" s="33"/>
      <c r="C215" s="35">
        <v>8</v>
      </c>
      <c r="D215" s="274">
        <f t="shared" si="4"/>
        <v>0</v>
      </c>
      <c r="E215" s="274">
        <f t="shared" si="4"/>
        <v>0</v>
      </c>
      <c r="F215" s="274">
        <f t="shared" si="5"/>
        <v>0</v>
      </c>
      <c r="G215" s="274">
        <f t="shared" si="6"/>
        <v>0</v>
      </c>
      <c r="H215" s="263"/>
      <c r="I215" s="37"/>
    </row>
    <row r="216" spans="1:9" ht="12.75" customHeight="1">
      <c r="A216" s="32"/>
      <c r="B216" s="33"/>
      <c r="C216" s="35">
        <v>9</v>
      </c>
      <c r="D216" s="274">
        <f t="shared" si="4"/>
        <v>0</v>
      </c>
      <c r="E216" s="274">
        <f t="shared" si="4"/>
        <v>0</v>
      </c>
      <c r="F216" s="274">
        <f t="shared" si="5"/>
        <v>0</v>
      </c>
      <c r="G216" s="274">
        <f t="shared" si="6"/>
        <v>0</v>
      </c>
      <c r="H216" s="263"/>
      <c r="I216" s="37"/>
    </row>
    <row r="217" spans="1:9" ht="12.75" customHeight="1">
      <c r="A217" s="32"/>
      <c r="B217" s="33"/>
      <c r="C217" s="35">
        <v>10</v>
      </c>
      <c r="D217" s="274">
        <f t="shared" si="4"/>
        <v>0</v>
      </c>
      <c r="E217" s="274">
        <f t="shared" si="4"/>
        <v>0</v>
      </c>
      <c r="F217" s="274">
        <f t="shared" si="5"/>
        <v>0</v>
      </c>
      <c r="G217" s="274">
        <f t="shared" si="6"/>
        <v>0</v>
      </c>
      <c r="H217" s="263"/>
      <c r="I217" s="37"/>
    </row>
    <row r="218" spans="1:9" ht="12.75" customHeight="1">
      <c r="A218" s="32"/>
      <c r="B218" s="33"/>
      <c r="C218" s="35">
        <v>11</v>
      </c>
      <c r="D218" s="274">
        <f t="shared" si="4"/>
        <v>0</v>
      </c>
      <c r="E218" s="274">
        <f t="shared" si="4"/>
        <v>0</v>
      </c>
      <c r="F218" s="274">
        <f t="shared" si="5"/>
        <v>0</v>
      </c>
      <c r="G218" s="274">
        <f t="shared" si="6"/>
        <v>0</v>
      </c>
      <c r="H218" s="263"/>
      <c r="I218" s="37"/>
    </row>
    <row r="219" spans="1:9" ht="12.75" customHeight="1">
      <c r="A219" s="32"/>
      <c r="B219" s="33"/>
      <c r="C219" s="35">
        <v>12</v>
      </c>
      <c r="D219" s="274">
        <f t="shared" si="4"/>
        <v>0</v>
      </c>
      <c r="E219" s="274">
        <f t="shared" si="4"/>
        <v>0</v>
      </c>
      <c r="F219" s="274">
        <f t="shared" si="5"/>
        <v>0</v>
      </c>
      <c r="G219" s="274">
        <f t="shared" si="6"/>
        <v>0</v>
      </c>
      <c r="H219" s="263"/>
      <c r="I219" s="37"/>
    </row>
    <row r="220" spans="1:9" ht="12.75" customHeight="1">
      <c r="A220" s="32"/>
      <c r="B220" s="33"/>
      <c r="C220" s="35">
        <v>13</v>
      </c>
      <c r="D220" s="274">
        <f t="shared" si="4"/>
        <v>0</v>
      </c>
      <c r="E220" s="274">
        <f t="shared" si="4"/>
        <v>0</v>
      </c>
      <c r="F220" s="274">
        <f t="shared" si="5"/>
        <v>0</v>
      </c>
      <c r="G220" s="274">
        <f t="shared" si="6"/>
        <v>0</v>
      </c>
      <c r="H220" s="263"/>
      <c r="I220" s="37"/>
    </row>
    <row r="221" spans="1:9" ht="12.75" customHeight="1">
      <c r="A221" s="32"/>
      <c r="B221" s="33"/>
      <c r="C221" s="35">
        <v>14</v>
      </c>
      <c r="D221" s="274">
        <f t="shared" si="4"/>
        <v>0</v>
      </c>
      <c r="E221" s="274">
        <f t="shared" si="4"/>
        <v>0</v>
      </c>
      <c r="F221" s="274">
        <f t="shared" si="5"/>
        <v>0</v>
      </c>
      <c r="G221" s="274">
        <f t="shared" si="6"/>
        <v>0</v>
      </c>
      <c r="H221" s="263"/>
      <c r="I221" s="37"/>
    </row>
    <row r="222" spans="1:9" ht="12.75" customHeight="1">
      <c r="A222" s="32"/>
      <c r="B222" s="33"/>
      <c r="C222" s="35">
        <v>15</v>
      </c>
      <c r="D222" s="274">
        <f t="shared" si="4"/>
        <v>0</v>
      </c>
      <c r="E222" s="274">
        <f t="shared" si="4"/>
        <v>0</v>
      </c>
      <c r="F222" s="274">
        <f t="shared" si="5"/>
        <v>0</v>
      </c>
      <c r="G222" s="274">
        <f t="shared" si="6"/>
        <v>0</v>
      </c>
      <c r="H222" s="263"/>
      <c r="I222" s="37"/>
    </row>
    <row r="223" spans="1:9" ht="12.75" customHeight="1">
      <c r="A223" s="32"/>
      <c r="B223" s="33"/>
      <c r="C223" s="35">
        <v>16</v>
      </c>
      <c r="D223" s="274">
        <f t="shared" si="4"/>
        <v>0</v>
      </c>
      <c r="E223" s="274">
        <f t="shared" si="4"/>
        <v>0</v>
      </c>
      <c r="F223" s="274">
        <f t="shared" si="5"/>
        <v>0</v>
      </c>
      <c r="G223" s="274">
        <f t="shared" si="6"/>
        <v>0</v>
      </c>
      <c r="H223" s="263"/>
      <c r="I223" s="37"/>
    </row>
    <row r="224" spans="1:9" ht="12.75" customHeight="1">
      <c r="A224" s="32"/>
      <c r="B224" s="33"/>
      <c r="C224" s="35">
        <v>17</v>
      </c>
      <c r="D224" s="274">
        <f t="shared" si="4"/>
        <v>0</v>
      </c>
      <c r="E224" s="274">
        <f t="shared" si="4"/>
        <v>0</v>
      </c>
      <c r="F224" s="274">
        <f t="shared" si="5"/>
        <v>0</v>
      </c>
      <c r="G224" s="274">
        <f t="shared" si="6"/>
        <v>0</v>
      </c>
      <c r="H224" s="263"/>
      <c r="I224" s="37"/>
    </row>
    <row r="225" spans="1:9" ht="12.75" customHeight="1">
      <c r="A225" s="32"/>
      <c r="B225" s="33"/>
      <c r="C225" s="35">
        <v>18</v>
      </c>
      <c r="D225" s="274">
        <f t="shared" si="4"/>
        <v>0</v>
      </c>
      <c r="E225" s="274">
        <f t="shared" si="4"/>
        <v>0</v>
      </c>
      <c r="F225" s="274">
        <f t="shared" si="5"/>
        <v>0</v>
      </c>
      <c r="G225" s="274">
        <f t="shared" si="6"/>
        <v>0</v>
      </c>
      <c r="H225" s="263"/>
      <c r="I225" s="37"/>
    </row>
    <row r="226" spans="1:9" ht="12.75" customHeight="1">
      <c r="A226" s="32"/>
      <c r="B226" s="33"/>
      <c r="C226" s="35">
        <v>19</v>
      </c>
      <c r="D226" s="274">
        <f t="shared" si="4"/>
        <v>0</v>
      </c>
      <c r="E226" s="274">
        <f t="shared" si="4"/>
        <v>0</v>
      </c>
      <c r="F226" s="274">
        <f t="shared" si="5"/>
        <v>0</v>
      </c>
      <c r="G226" s="274">
        <f t="shared" si="6"/>
        <v>0</v>
      </c>
      <c r="H226" s="263"/>
      <c r="I226" s="37"/>
    </row>
    <row r="227" spans="1:9" ht="12.75" customHeight="1">
      <c r="A227" s="32"/>
      <c r="B227" s="33"/>
      <c r="C227" s="35">
        <v>20</v>
      </c>
      <c r="D227" s="274">
        <f t="shared" si="4"/>
        <v>0</v>
      </c>
      <c r="E227" s="274">
        <f t="shared" si="4"/>
        <v>0</v>
      </c>
      <c r="F227" s="274">
        <f t="shared" si="5"/>
        <v>0</v>
      </c>
      <c r="G227" s="274">
        <f t="shared" si="6"/>
        <v>0</v>
      </c>
      <c r="H227" s="263"/>
      <c r="I227" s="37"/>
    </row>
    <row r="228" spans="1:9" ht="12.75" customHeight="1">
      <c r="A228" s="32"/>
      <c r="B228" s="33"/>
      <c r="C228" s="35">
        <v>21</v>
      </c>
      <c r="D228" s="274">
        <f t="shared" si="4"/>
        <v>0</v>
      </c>
      <c r="E228" s="274">
        <f t="shared" si="4"/>
        <v>0</v>
      </c>
      <c r="F228" s="274">
        <f t="shared" si="5"/>
        <v>0</v>
      </c>
      <c r="G228" s="274">
        <f t="shared" si="6"/>
        <v>0</v>
      </c>
      <c r="H228" s="263"/>
      <c r="I228" s="37"/>
    </row>
    <row r="229" spans="1:9" ht="12.75" customHeight="1">
      <c r="A229" s="32"/>
      <c r="B229" s="33"/>
      <c r="C229" s="35">
        <v>22</v>
      </c>
      <c r="D229" s="274">
        <f t="shared" si="4"/>
        <v>0</v>
      </c>
      <c r="E229" s="274">
        <f t="shared" si="4"/>
        <v>0</v>
      </c>
      <c r="F229" s="274">
        <f t="shared" si="5"/>
        <v>0</v>
      </c>
      <c r="G229" s="274">
        <f t="shared" si="6"/>
        <v>0</v>
      </c>
      <c r="H229" s="263"/>
      <c r="I229" s="37"/>
    </row>
    <row r="230" spans="1:9" ht="12.75" customHeight="1">
      <c r="A230" s="32"/>
      <c r="B230" s="33"/>
      <c r="C230" s="35">
        <v>23</v>
      </c>
      <c r="D230" s="274">
        <f t="shared" si="4"/>
        <v>0</v>
      </c>
      <c r="E230" s="274">
        <f t="shared" si="4"/>
        <v>0</v>
      </c>
      <c r="F230" s="274">
        <f t="shared" si="5"/>
        <v>0</v>
      </c>
      <c r="G230" s="274">
        <f t="shared" si="6"/>
        <v>0</v>
      </c>
      <c r="H230" s="263"/>
      <c r="I230" s="37"/>
    </row>
    <row r="231" spans="1:9" ht="12.75" customHeight="1">
      <c r="A231" s="32"/>
      <c r="B231" s="33"/>
      <c r="C231" s="35">
        <v>24</v>
      </c>
      <c r="D231" s="274">
        <f t="shared" si="4"/>
        <v>0</v>
      </c>
      <c r="E231" s="274">
        <f t="shared" si="4"/>
        <v>0</v>
      </c>
      <c r="F231" s="274">
        <f t="shared" si="5"/>
        <v>0</v>
      </c>
      <c r="G231" s="274">
        <f t="shared" si="6"/>
        <v>0</v>
      </c>
      <c r="H231" s="263"/>
      <c r="I231" s="37"/>
    </row>
    <row r="232" spans="1:9" ht="12.75" customHeight="1">
      <c r="A232" s="32"/>
      <c r="B232" s="33"/>
      <c r="C232" s="35">
        <v>25</v>
      </c>
      <c r="D232" s="274">
        <f t="shared" si="4"/>
        <v>0</v>
      </c>
      <c r="E232" s="274">
        <f t="shared" si="4"/>
        <v>0</v>
      </c>
      <c r="F232" s="274">
        <f t="shared" si="5"/>
        <v>0</v>
      </c>
      <c r="G232" s="274">
        <f t="shared" si="6"/>
        <v>0</v>
      </c>
      <c r="H232" s="263"/>
      <c r="I232" s="37"/>
    </row>
    <row r="233" spans="1:9" ht="12.75" customHeight="1">
      <c r="A233" s="32"/>
      <c r="B233" s="33"/>
      <c r="C233" s="35">
        <v>26</v>
      </c>
      <c r="D233" s="274">
        <f t="shared" si="4"/>
        <v>0</v>
      </c>
      <c r="E233" s="274">
        <f t="shared" si="4"/>
        <v>0</v>
      </c>
      <c r="F233" s="274">
        <f t="shared" si="5"/>
        <v>0</v>
      </c>
      <c r="G233" s="274">
        <f t="shared" si="6"/>
        <v>0</v>
      </c>
      <c r="H233" s="263"/>
      <c r="I233" s="37"/>
    </row>
    <row r="234" spans="1:9" ht="12.75" customHeight="1">
      <c r="A234" s="32"/>
      <c r="B234" s="33"/>
      <c r="C234" s="35">
        <v>27</v>
      </c>
      <c r="D234" s="274">
        <f t="shared" si="4"/>
        <v>0</v>
      </c>
      <c r="E234" s="274">
        <f t="shared" si="4"/>
        <v>0</v>
      </c>
      <c r="F234" s="274">
        <f t="shared" si="5"/>
        <v>0</v>
      </c>
      <c r="G234" s="274">
        <f t="shared" si="6"/>
        <v>0</v>
      </c>
      <c r="H234" s="263"/>
      <c r="I234" s="37"/>
    </row>
    <row r="235" spans="1:9" ht="12.75" customHeight="1">
      <c r="A235" s="32"/>
      <c r="B235" s="33"/>
      <c r="C235" s="35">
        <v>28</v>
      </c>
      <c r="D235" s="274">
        <f t="shared" ref="D235:E235" si="7">MAXA(D36-D169,0)</f>
        <v>0</v>
      </c>
      <c r="E235" s="274">
        <f t="shared" si="7"/>
        <v>0</v>
      </c>
      <c r="F235" s="274">
        <f t="shared" ref="F235:F267" si="8">0.8*MAXA(F36-F169,0)</f>
        <v>0</v>
      </c>
      <c r="G235" s="274">
        <f t="shared" ref="G235:G267" si="9">SUM(D235:F235)</f>
        <v>0</v>
      </c>
      <c r="H235" s="263"/>
      <c r="I235" s="37"/>
    </row>
    <row r="236" spans="1:9" ht="12.75" customHeight="1">
      <c r="A236" s="32"/>
      <c r="B236" s="33"/>
      <c r="C236" s="35">
        <v>29</v>
      </c>
      <c r="D236" s="274">
        <f t="shared" ref="D236:E236" si="10">MAXA(D37-D170,0)</f>
        <v>0</v>
      </c>
      <c r="E236" s="274">
        <f t="shared" si="10"/>
        <v>0</v>
      </c>
      <c r="F236" s="274">
        <f t="shared" si="8"/>
        <v>0</v>
      </c>
      <c r="G236" s="274">
        <f t="shared" si="9"/>
        <v>0</v>
      </c>
      <c r="H236" s="263"/>
      <c r="I236" s="37"/>
    </row>
    <row r="237" spans="1:9" ht="12.75" customHeight="1">
      <c r="A237" s="32"/>
      <c r="B237" s="33"/>
      <c r="C237" s="35">
        <v>30</v>
      </c>
      <c r="D237" s="274">
        <f t="shared" ref="D237:E237" si="11">MAXA(D38-D171,0)</f>
        <v>0</v>
      </c>
      <c r="E237" s="274">
        <f t="shared" si="11"/>
        <v>0</v>
      </c>
      <c r="F237" s="274">
        <f t="shared" si="8"/>
        <v>0</v>
      </c>
      <c r="G237" s="274">
        <f t="shared" si="9"/>
        <v>0</v>
      </c>
      <c r="H237" s="263"/>
      <c r="I237" s="37"/>
    </row>
    <row r="238" spans="1:9" ht="12.75" customHeight="1">
      <c r="A238" s="32"/>
      <c r="B238" s="33"/>
      <c r="C238" s="35">
        <v>31</v>
      </c>
      <c r="D238" s="274">
        <f t="shared" ref="D238:E238" si="12">MAXA(D39-D172,0)</f>
        <v>0</v>
      </c>
      <c r="E238" s="274">
        <f t="shared" si="12"/>
        <v>0</v>
      </c>
      <c r="F238" s="274">
        <f t="shared" si="8"/>
        <v>0</v>
      </c>
      <c r="G238" s="274">
        <f t="shared" si="9"/>
        <v>0</v>
      </c>
      <c r="H238" s="263"/>
      <c r="I238" s="37"/>
    </row>
    <row r="239" spans="1:9" ht="12.75" customHeight="1">
      <c r="A239" s="32"/>
      <c r="B239" s="33"/>
      <c r="C239" s="35">
        <v>32</v>
      </c>
      <c r="D239" s="274">
        <f t="shared" ref="D239:E239" si="13">MAXA(D40-D173,0)</f>
        <v>0</v>
      </c>
      <c r="E239" s="274">
        <f t="shared" si="13"/>
        <v>0</v>
      </c>
      <c r="F239" s="274">
        <f t="shared" si="8"/>
        <v>0</v>
      </c>
      <c r="G239" s="274">
        <f t="shared" si="9"/>
        <v>0</v>
      </c>
      <c r="H239" s="263"/>
      <c r="I239" s="37"/>
    </row>
    <row r="240" spans="1:9" ht="12.75" customHeight="1">
      <c r="A240" s="32"/>
      <c r="B240" s="33"/>
      <c r="C240" s="35">
        <v>33</v>
      </c>
      <c r="D240" s="274">
        <f t="shared" ref="D240:E240" si="14">MAXA(D41-D174,0)</f>
        <v>0</v>
      </c>
      <c r="E240" s="274">
        <f t="shared" si="14"/>
        <v>0</v>
      </c>
      <c r="F240" s="274">
        <f t="shared" si="8"/>
        <v>0</v>
      </c>
      <c r="G240" s="274">
        <f t="shared" si="9"/>
        <v>0</v>
      </c>
      <c r="H240" s="263"/>
      <c r="I240" s="37"/>
    </row>
    <row r="241" spans="1:9" ht="12.75" customHeight="1">
      <c r="A241" s="32"/>
      <c r="B241" s="33"/>
      <c r="C241" s="35">
        <v>34</v>
      </c>
      <c r="D241" s="274">
        <f t="shared" ref="D241:E241" si="15">MAXA(D42-D175,0)</f>
        <v>0</v>
      </c>
      <c r="E241" s="274">
        <f t="shared" si="15"/>
        <v>0</v>
      </c>
      <c r="F241" s="274">
        <f t="shared" si="8"/>
        <v>0</v>
      </c>
      <c r="G241" s="274">
        <f t="shared" si="9"/>
        <v>0</v>
      </c>
      <c r="H241" s="263"/>
      <c r="I241" s="37"/>
    </row>
    <row r="242" spans="1:9" ht="12.75" customHeight="1">
      <c r="A242" s="32"/>
      <c r="B242" s="33"/>
      <c r="C242" s="35">
        <v>35</v>
      </c>
      <c r="D242" s="274">
        <f t="shared" ref="D242:E242" si="16">MAXA(D43-D176,0)</f>
        <v>0</v>
      </c>
      <c r="E242" s="274">
        <f t="shared" si="16"/>
        <v>0</v>
      </c>
      <c r="F242" s="274">
        <f t="shared" si="8"/>
        <v>0</v>
      </c>
      <c r="G242" s="274">
        <f t="shared" si="9"/>
        <v>0</v>
      </c>
      <c r="H242" s="263"/>
      <c r="I242" s="37"/>
    </row>
    <row r="243" spans="1:9" ht="12.75" customHeight="1">
      <c r="A243" s="32"/>
      <c r="B243" s="33"/>
      <c r="C243" s="35">
        <v>36</v>
      </c>
      <c r="D243" s="274">
        <f t="shared" ref="D243:E243" si="17">MAXA(D44-D177,0)</f>
        <v>0</v>
      </c>
      <c r="E243" s="274">
        <f t="shared" si="17"/>
        <v>0</v>
      </c>
      <c r="F243" s="274">
        <f t="shared" si="8"/>
        <v>0</v>
      </c>
      <c r="G243" s="274">
        <f t="shared" si="9"/>
        <v>0</v>
      </c>
      <c r="H243" s="263"/>
      <c r="I243" s="37"/>
    </row>
    <row r="244" spans="1:9" ht="12.75" customHeight="1">
      <c r="A244" s="32"/>
      <c r="B244" s="33"/>
      <c r="C244" s="35">
        <v>37</v>
      </c>
      <c r="D244" s="274">
        <f t="shared" ref="D244:E244" si="18">MAXA(D45-D178,0)</f>
        <v>0</v>
      </c>
      <c r="E244" s="274">
        <f t="shared" si="18"/>
        <v>0</v>
      </c>
      <c r="F244" s="274">
        <f t="shared" si="8"/>
        <v>0</v>
      </c>
      <c r="G244" s="274">
        <f t="shared" si="9"/>
        <v>0</v>
      </c>
      <c r="H244" s="263"/>
      <c r="I244" s="37"/>
    </row>
    <row r="245" spans="1:9" ht="12.75" customHeight="1">
      <c r="A245" s="32"/>
      <c r="B245" s="33"/>
      <c r="C245" s="35">
        <v>38</v>
      </c>
      <c r="D245" s="274">
        <f t="shared" ref="D245:E245" si="19">MAXA(D46-D179,0)</f>
        <v>0</v>
      </c>
      <c r="E245" s="274">
        <f t="shared" si="19"/>
        <v>0</v>
      </c>
      <c r="F245" s="274">
        <f t="shared" si="8"/>
        <v>0</v>
      </c>
      <c r="G245" s="274">
        <f t="shared" si="9"/>
        <v>0</v>
      </c>
      <c r="H245" s="263"/>
      <c r="I245" s="37"/>
    </row>
    <row r="246" spans="1:9" ht="12.75" customHeight="1">
      <c r="A246" s="32"/>
      <c r="B246" s="33"/>
      <c r="C246" s="35">
        <v>39</v>
      </c>
      <c r="D246" s="274">
        <f t="shared" ref="D246:E246" si="20">MAXA(D47-D180,0)</f>
        <v>0</v>
      </c>
      <c r="E246" s="274">
        <f t="shared" si="20"/>
        <v>0</v>
      </c>
      <c r="F246" s="274">
        <f t="shared" si="8"/>
        <v>0</v>
      </c>
      <c r="G246" s="274">
        <f t="shared" si="9"/>
        <v>0</v>
      </c>
      <c r="H246" s="263"/>
      <c r="I246" s="37"/>
    </row>
    <row r="247" spans="1:9" ht="12.75" customHeight="1">
      <c r="A247" s="32"/>
      <c r="B247" s="33"/>
      <c r="C247" s="35">
        <v>40</v>
      </c>
      <c r="D247" s="274">
        <f t="shared" ref="D247:E247" si="21">MAXA(D48-D181,0)</f>
        <v>0</v>
      </c>
      <c r="E247" s="274">
        <f t="shared" si="21"/>
        <v>0</v>
      </c>
      <c r="F247" s="274">
        <f t="shared" si="8"/>
        <v>0</v>
      </c>
      <c r="G247" s="274">
        <f t="shared" si="9"/>
        <v>0</v>
      </c>
      <c r="H247" s="263"/>
      <c r="I247" s="37"/>
    </row>
    <row r="248" spans="1:9" ht="12.75" customHeight="1">
      <c r="A248" s="32"/>
      <c r="B248" s="33"/>
      <c r="C248" s="35">
        <v>41</v>
      </c>
      <c r="D248" s="274">
        <f t="shared" ref="D248:E248" si="22">MAXA(D49-D182,0)</f>
        <v>0</v>
      </c>
      <c r="E248" s="274">
        <f t="shared" si="22"/>
        <v>0</v>
      </c>
      <c r="F248" s="274">
        <f t="shared" si="8"/>
        <v>0</v>
      </c>
      <c r="G248" s="274">
        <f t="shared" si="9"/>
        <v>0</v>
      </c>
      <c r="H248" s="263"/>
      <c r="I248" s="37"/>
    </row>
    <row r="249" spans="1:9" ht="12.75" customHeight="1">
      <c r="A249" s="32"/>
      <c r="B249" s="33"/>
      <c r="C249" s="35">
        <v>42</v>
      </c>
      <c r="D249" s="274">
        <f t="shared" ref="D249:E249" si="23">MAXA(D50-D183,0)</f>
        <v>0</v>
      </c>
      <c r="E249" s="274">
        <f t="shared" si="23"/>
        <v>0</v>
      </c>
      <c r="F249" s="274">
        <f t="shared" si="8"/>
        <v>0</v>
      </c>
      <c r="G249" s="274">
        <f t="shared" si="9"/>
        <v>0</v>
      </c>
      <c r="H249" s="263"/>
      <c r="I249" s="37"/>
    </row>
    <row r="250" spans="1:9" ht="12.75" customHeight="1">
      <c r="A250" s="32"/>
      <c r="B250" s="33"/>
      <c r="C250" s="35">
        <v>43</v>
      </c>
      <c r="D250" s="274">
        <f t="shared" ref="D250:E250" si="24">MAXA(D51-D184,0)</f>
        <v>0</v>
      </c>
      <c r="E250" s="274">
        <f t="shared" si="24"/>
        <v>0</v>
      </c>
      <c r="F250" s="274">
        <f t="shared" si="8"/>
        <v>0</v>
      </c>
      <c r="G250" s="274">
        <f t="shared" si="9"/>
        <v>0</v>
      </c>
      <c r="H250" s="263"/>
      <c r="I250" s="37"/>
    </row>
    <row r="251" spans="1:9" ht="12.75" customHeight="1">
      <c r="A251" s="32"/>
      <c r="B251" s="33"/>
      <c r="C251" s="35">
        <v>44</v>
      </c>
      <c r="D251" s="274">
        <f t="shared" ref="D251:E251" si="25">MAXA(D52-D185,0)</f>
        <v>0</v>
      </c>
      <c r="E251" s="274">
        <f t="shared" si="25"/>
        <v>0</v>
      </c>
      <c r="F251" s="274">
        <f t="shared" si="8"/>
        <v>0</v>
      </c>
      <c r="G251" s="274">
        <f t="shared" si="9"/>
        <v>0</v>
      </c>
      <c r="H251" s="263"/>
      <c r="I251" s="37"/>
    </row>
    <row r="252" spans="1:9" ht="12.75" customHeight="1">
      <c r="A252" s="32"/>
      <c r="B252" s="33"/>
      <c r="C252" s="35">
        <v>45</v>
      </c>
      <c r="D252" s="274">
        <f t="shared" ref="D252:E252" si="26">MAXA(D53-D186,0)</f>
        <v>0</v>
      </c>
      <c r="E252" s="274">
        <f t="shared" si="26"/>
        <v>0</v>
      </c>
      <c r="F252" s="274">
        <f t="shared" si="8"/>
        <v>0</v>
      </c>
      <c r="G252" s="274">
        <f t="shared" si="9"/>
        <v>0</v>
      </c>
      <c r="H252" s="263"/>
      <c r="I252" s="37"/>
    </row>
    <row r="253" spans="1:9" ht="12.75" customHeight="1">
      <c r="A253" s="32"/>
      <c r="B253" s="33"/>
      <c r="C253" s="35">
        <v>46</v>
      </c>
      <c r="D253" s="274">
        <f t="shared" ref="D253:E253" si="27">MAXA(D54-D187,0)</f>
        <v>0</v>
      </c>
      <c r="E253" s="274">
        <f t="shared" si="27"/>
        <v>0</v>
      </c>
      <c r="F253" s="274">
        <f t="shared" si="8"/>
        <v>0</v>
      </c>
      <c r="G253" s="274">
        <f t="shared" si="9"/>
        <v>0</v>
      </c>
      <c r="H253" s="263"/>
      <c r="I253" s="37"/>
    </row>
    <row r="254" spans="1:9" ht="12.75" customHeight="1">
      <c r="A254" s="32"/>
      <c r="B254" s="33"/>
      <c r="C254" s="35">
        <v>47</v>
      </c>
      <c r="D254" s="274">
        <f t="shared" ref="D254:E254" si="28">MAXA(D55-D188,0)</f>
        <v>0</v>
      </c>
      <c r="E254" s="274">
        <f t="shared" si="28"/>
        <v>0</v>
      </c>
      <c r="F254" s="274">
        <f t="shared" si="8"/>
        <v>0</v>
      </c>
      <c r="G254" s="274">
        <f t="shared" si="9"/>
        <v>0</v>
      </c>
      <c r="H254" s="263"/>
      <c r="I254" s="37"/>
    </row>
    <row r="255" spans="1:9" ht="12.75" customHeight="1">
      <c r="A255" s="32"/>
      <c r="B255" s="33"/>
      <c r="C255" s="35">
        <v>48</v>
      </c>
      <c r="D255" s="274">
        <f t="shared" ref="D255:E255" si="29">MAXA(D56-D189,0)</f>
        <v>0</v>
      </c>
      <c r="E255" s="274">
        <f t="shared" si="29"/>
        <v>0</v>
      </c>
      <c r="F255" s="274">
        <f t="shared" si="8"/>
        <v>0</v>
      </c>
      <c r="G255" s="274">
        <f t="shared" si="9"/>
        <v>0</v>
      </c>
      <c r="H255" s="263"/>
      <c r="I255" s="37"/>
    </row>
    <row r="256" spans="1:9" ht="12.75" customHeight="1">
      <c r="A256" s="32"/>
      <c r="B256" s="33"/>
      <c r="C256" s="35">
        <v>49</v>
      </c>
      <c r="D256" s="274">
        <f t="shared" ref="D256:E256" si="30">MAXA(D57-D190,0)</f>
        <v>0</v>
      </c>
      <c r="E256" s="274">
        <f t="shared" si="30"/>
        <v>0</v>
      </c>
      <c r="F256" s="274">
        <f t="shared" si="8"/>
        <v>0</v>
      </c>
      <c r="G256" s="274">
        <f t="shared" si="9"/>
        <v>0</v>
      </c>
      <c r="H256" s="263"/>
      <c r="I256" s="37"/>
    </row>
    <row r="257" spans="1:9" ht="12.75" customHeight="1">
      <c r="A257" s="32"/>
      <c r="B257" s="33"/>
      <c r="C257" s="35">
        <v>50</v>
      </c>
      <c r="D257" s="274">
        <f t="shared" ref="D257:E257" si="31">MAXA(D58-D191,0)</f>
        <v>0</v>
      </c>
      <c r="E257" s="274">
        <f t="shared" si="31"/>
        <v>0</v>
      </c>
      <c r="F257" s="274">
        <f t="shared" si="8"/>
        <v>0</v>
      </c>
      <c r="G257" s="274">
        <f t="shared" si="9"/>
        <v>0</v>
      </c>
      <c r="H257" s="263"/>
      <c r="I257" s="37"/>
    </row>
    <row r="258" spans="1:9" ht="12.75" customHeight="1">
      <c r="A258" s="32"/>
      <c r="B258" s="33"/>
      <c r="C258" s="35">
        <v>51</v>
      </c>
      <c r="D258" s="274">
        <f t="shared" ref="D258:E258" si="32">MAXA(D59-D192,0)</f>
        <v>0</v>
      </c>
      <c r="E258" s="274">
        <f t="shared" si="32"/>
        <v>0</v>
      </c>
      <c r="F258" s="274">
        <f t="shared" si="8"/>
        <v>0</v>
      </c>
      <c r="G258" s="274">
        <f t="shared" si="9"/>
        <v>0</v>
      </c>
      <c r="H258" s="263"/>
      <c r="I258" s="37"/>
    </row>
    <row r="259" spans="1:9" ht="12.75" customHeight="1">
      <c r="A259" s="32"/>
      <c r="B259" s="33"/>
      <c r="C259" s="35">
        <v>52</v>
      </c>
      <c r="D259" s="274">
        <f t="shared" ref="D259:E259" si="33">MAXA(D60-D193,0)</f>
        <v>0</v>
      </c>
      <c r="E259" s="274">
        <f t="shared" si="33"/>
        <v>0</v>
      </c>
      <c r="F259" s="274">
        <f t="shared" si="8"/>
        <v>0</v>
      </c>
      <c r="G259" s="274">
        <f t="shared" si="9"/>
        <v>0</v>
      </c>
      <c r="H259" s="263"/>
      <c r="I259" s="37"/>
    </row>
    <row r="260" spans="1:9" ht="12.75" customHeight="1">
      <c r="A260" s="32"/>
      <c r="B260" s="33"/>
      <c r="C260" s="35">
        <v>53</v>
      </c>
      <c r="D260" s="274">
        <f t="shared" ref="D260:E260" si="34">MAXA(D61-D194,0)</f>
        <v>0</v>
      </c>
      <c r="E260" s="274">
        <f t="shared" si="34"/>
        <v>0</v>
      </c>
      <c r="F260" s="274">
        <f t="shared" si="8"/>
        <v>0</v>
      </c>
      <c r="G260" s="274">
        <f t="shared" si="9"/>
        <v>0</v>
      </c>
      <c r="H260" s="263"/>
      <c r="I260" s="37"/>
    </row>
    <row r="261" spans="1:9" ht="12.75" customHeight="1">
      <c r="A261" s="32"/>
      <c r="B261" s="33"/>
      <c r="C261" s="35">
        <v>54</v>
      </c>
      <c r="D261" s="274">
        <f t="shared" ref="D261:E261" si="35">MAXA(D62-D195,0)</f>
        <v>0</v>
      </c>
      <c r="E261" s="274">
        <f t="shared" si="35"/>
        <v>0</v>
      </c>
      <c r="F261" s="274">
        <f t="shared" si="8"/>
        <v>0</v>
      </c>
      <c r="G261" s="274">
        <f t="shared" si="9"/>
        <v>0</v>
      </c>
      <c r="H261" s="263"/>
      <c r="I261" s="37"/>
    </row>
    <row r="262" spans="1:9" ht="12.75" customHeight="1">
      <c r="A262" s="32"/>
      <c r="B262" s="33"/>
      <c r="C262" s="35">
        <v>55</v>
      </c>
      <c r="D262" s="274">
        <f t="shared" ref="D262:E262" si="36">MAXA(D63-D196,0)</f>
        <v>0</v>
      </c>
      <c r="E262" s="274">
        <f t="shared" si="36"/>
        <v>0</v>
      </c>
      <c r="F262" s="274">
        <f t="shared" si="8"/>
        <v>0</v>
      </c>
      <c r="G262" s="274">
        <f t="shared" si="9"/>
        <v>0</v>
      </c>
      <c r="H262" s="263"/>
      <c r="I262" s="37"/>
    </row>
    <row r="263" spans="1:9" ht="12.75" customHeight="1">
      <c r="A263" s="32"/>
      <c r="B263" s="33"/>
      <c r="C263" s="35">
        <v>56</v>
      </c>
      <c r="D263" s="274">
        <f t="shared" ref="D263:E263" si="37">MAXA(D64-D197,0)</f>
        <v>0</v>
      </c>
      <c r="E263" s="274">
        <f t="shared" si="37"/>
        <v>0</v>
      </c>
      <c r="F263" s="274">
        <f t="shared" si="8"/>
        <v>0</v>
      </c>
      <c r="G263" s="274">
        <f t="shared" si="9"/>
        <v>0</v>
      </c>
      <c r="H263" s="263"/>
      <c r="I263" s="37"/>
    </row>
    <row r="264" spans="1:9" ht="12.75" customHeight="1">
      <c r="A264" s="32"/>
      <c r="B264" s="33"/>
      <c r="C264" s="35">
        <v>57</v>
      </c>
      <c r="D264" s="274">
        <f t="shared" ref="D264:E264" si="38">MAXA(D65-D198,0)</f>
        <v>0</v>
      </c>
      <c r="E264" s="274">
        <f t="shared" si="38"/>
        <v>0</v>
      </c>
      <c r="F264" s="274">
        <f t="shared" si="8"/>
        <v>0</v>
      </c>
      <c r="G264" s="274">
        <f t="shared" si="9"/>
        <v>0</v>
      </c>
      <c r="H264" s="263"/>
      <c r="I264" s="37"/>
    </row>
    <row r="265" spans="1:9" ht="12.75" customHeight="1">
      <c r="A265" s="32"/>
      <c r="B265" s="33"/>
      <c r="C265" s="35">
        <v>58</v>
      </c>
      <c r="D265" s="274">
        <f t="shared" ref="D265:E265" si="39">MAXA(D66-D199,0)</f>
        <v>0</v>
      </c>
      <c r="E265" s="274">
        <f t="shared" si="39"/>
        <v>0</v>
      </c>
      <c r="F265" s="274">
        <f t="shared" si="8"/>
        <v>0</v>
      </c>
      <c r="G265" s="274">
        <f t="shared" si="9"/>
        <v>0</v>
      </c>
      <c r="H265" s="263"/>
      <c r="I265" s="37"/>
    </row>
    <row r="266" spans="1:9" ht="12.75" customHeight="1">
      <c r="A266" s="32"/>
      <c r="B266" s="33"/>
      <c r="C266" s="35">
        <v>59</v>
      </c>
      <c r="D266" s="274">
        <f t="shared" ref="D266:E266" si="40">MAXA(D67-D200,0)</f>
        <v>0</v>
      </c>
      <c r="E266" s="274">
        <f t="shared" si="40"/>
        <v>0</v>
      </c>
      <c r="F266" s="274">
        <f t="shared" si="8"/>
        <v>0</v>
      </c>
      <c r="G266" s="274">
        <f t="shared" si="9"/>
        <v>0</v>
      </c>
      <c r="H266" s="263"/>
      <c r="I266" s="37"/>
    </row>
    <row r="267" spans="1:9" ht="12.75" customHeight="1">
      <c r="A267" s="32"/>
      <c r="B267" s="33"/>
      <c r="C267" s="35">
        <v>60</v>
      </c>
      <c r="D267" s="274">
        <f t="shared" ref="D267:E267" si="41">MAXA(D68-D201,0)</f>
        <v>0</v>
      </c>
      <c r="E267" s="274">
        <f t="shared" si="41"/>
        <v>0</v>
      </c>
      <c r="F267" s="274">
        <f t="shared" si="8"/>
        <v>0</v>
      </c>
      <c r="G267" s="274">
        <f t="shared" si="9"/>
        <v>0</v>
      </c>
      <c r="H267" s="263"/>
      <c r="I267" s="37"/>
    </row>
    <row r="268" spans="1:9" ht="15.9" customHeight="1">
      <c r="A268" s="32"/>
      <c r="B268" s="259" t="s">
        <v>603</v>
      </c>
      <c r="C268" s="259"/>
      <c r="D268" s="396">
        <f>SUM(D208:D267)</f>
        <v>0</v>
      </c>
      <c r="E268" s="396">
        <f>SUM(E208:E267)</f>
        <v>0</v>
      </c>
      <c r="F268" s="396">
        <f>SUM(F208:F267)</f>
        <v>0</v>
      </c>
      <c r="G268" s="396">
        <f t="shared" si="6"/>
        <v>0</v>
      </c>
      <c r="H268" s="263"/>
      <c r="I268" s="37"/>
    </row>
    <row r="269" spans="1:9" ht="15.9" customHeight="1">
      <c r="A269" s="32"/>
      <c r="B269" s="33"/>
      <c r="C269" s="259"/>
      <c r="D269" s="263"/>
      <c r="E269" s="263"/>
      <c r="F269" s="263"/>
      <c r="G269" s="263"/>
      <c r="H269" s="33"/>
      <c r="I269" s="37"/>
    </row>
    <row r="270" spans="1:9" ht="15.9" customHeight="1">
      <c r="A270" s="32"/>
      <c r="B270" s="33"/>
      <c r="C270" s="259"/>
      <c r="D270" s="263"/>
      <c r="E270" s="263"/>
      <c r="F270" s="263"/>
      <c r="G270" s="263"/>
      <c r="H270" s="33"/>
      <c r="I270" s="37"/>
    </row>
    <row r="271" spans="1:9" ht="15.9" customHeight="1">
      <c r="A271" s="32"/>
      <c r="B271" s="60" t="s">
        <v>604</v>
      </c>
      <c r="C271" s="431" t="s">
        <v>89</v>
      </c>
      <c r="D271" s="431"/>
      <c r="E271" s="431"/>
      <c r="F271" s="431"/>
      <c r="G271" s="429"/>
      <c r="H271" s="429"/>
      <c r="I271" s="37"/>
    </row>
    <row r="272" spans="1:9" ht="15.9" customHeight="1">
      <c r="A272" s="32"/>
      <c r="B272" s="33"/>
      <c r="C272" s="259"/>
      <c r="D272" s="263"/>
      <c r="E272" s="263"/>
      <c r="F272" s="263"/>
      <c r="G272" s="263"/>
      <c r="H272" s="33"/>
      <c r="I272" s="37"/>
    </row>
    <row r="273" spans="1:9" ht="20.149999999999999" customHeight="1">
      <c r="A273" s="32"/>
      <c r="B273" s="259" t="s">
        <v>605</v>
      </c>
      <c r="C273" s="246" t="s">
        <v>591</v>
      </c>
      <c r="D273" s="247" t="s">
        <v>56</v>
      </c>
      <c r="E273" s="247" t="s">
        <v>57</v>
      </c>
      <c r="F273" s="398"/>
      <c r="G273" s="259"/>
      <c r="H273" s="33"/>
      <c r="I273" s="37"/>
    </row>
    <row r="274" spans="1:9" ht="12.75" customHeight="1">
      <c r="A274" s="32"/>
      <c r="B274" s="33"/>
      <c r="C274" s="35">
        <v>1</v>
      </c>
      <c r="D274" s="274">
        <f t="shared" ref="D274:D303" si="42">0.9*MAXA(D142-D9,0)</f>
        <v>0</v>
      </c>
      <c r="E274" s="274">
        <f t="shared" ref="E274:E303" si="43">0.5*MAXA(E142-E9,0)</f>
        <v>0</v>
      </c>
      <c r="F274" s="275"/>
      <c r="G274" s="263"/>
      <c r="H274" s="33"/>
      <c r="I274" s="37"/>
    </row>
    <row r="275" spans="1:9" ht="12.75" customHeight="1">
      <c r="A275" s="32"/>
      <c r="B275" s="33"/>
      <c r="C275" s="35">
        <v>2</v>
      </c>
      <c r="D275" s="274">
        <f t="shared" si="42"/>
        <v>0</v>
      </c>
      <c r="E275" s="274">
        <f t="shared" si="43"/>
        <v>0</v>
      </c>
      <c r="F275" s="275"/>
      <c r="G275" s="263"/>
      <c r="H275" s="33"/>
      <c r="I275" s="37"/>
    </row>
    <row r="276" spans="1:9" ht="12.75" customHeight="1">
      <c r="A276" s="32"/>
      <c r="B276" s="33"/>
      <c r="C276" s="35">
        <v>3</v>
      </c>
      <c r="D276" s="274">
        <f t="shared" si="42"/>
        <v>0</v>
      </c>
      <c r="E276" s="274">
        <f t="shared" si="43"/>
        <v>0</v>
      </c>
      <c r="F276" s="275"/>
      <c r="G276" s="263"/>
      <c r="H276" s="33"/>
      <c r="I276" s="37"/>
    </row>
    <row r="277" spans="1:9" ht="12.75" customHeight="1">
      <c r="A277" s="32"/>
      <c r="B277" s="33"/>
      <c r="C277" s="35">
        <v>4</v>
      </c>
      <c r="D277" s="274">
        <f t="shared" si="42"/>
        <v>0</v>
      </c>
      <c r="E277" s="274">
        <f t="shared" si="43"/>
        <v>0</v>
      </c>
      <c r="F277" s="275"/>
      <c r="G277" s="263"/>
      <c r="H277" s="33"/>
      <c r="I277" s="37"/>
    </row>
    <row r="278" spans="1:9" ht="12.75" customHeight="1">
      <c r="A278" s="32"/>
      <c r="B278" s="33"/>
      <c r="C278" s="35">
        <v>5</v>
      </c>
      <c r="D278" s="274">
        <f t="shared" si="42"/>
        <v>0</v>
      </c>
      <c r="E278" s="274">
        <f t="shared" si="43"/>
        <v>0</v>
      </c>
      <c r="F278" s="275"/>
      <c r="G278" s="263"/>
      <c r="H278" s="33"/>
      <c r="I278" s="37"/>
    </row>
    <row r="279" spans="1:9" ht="12.75" customHeight="1">
      <c r="A279" s="32"/>
      <c r="B279" s="33"/>
      <c r="C279" s="35">
        <v>6</v>
      </c>
      <c r="D279" s="274">
        <f t="shared" si="42"/>
        <v>0</v>
      </c>
      <c r="E279" s="274">
        <f t="shared" si="43"/>
        <v>0</v>
      </c>
      <c r="F279" s="275"/>
      <c r="G279" s="263"/>
      <c r="H279" s="33"/>
      <c r="I279" s="37"/>
    </row>
    <row r="280" spans="1:9" ht="12.75" customHeight="1">
      <c r="A280" s="32"/>
      <c r="B280" s="33"/>
      <c r="C280" s="35">
        <v>7</v>
      </c>
      <c r="D280" s="274">
        <f t="shared" si="42"/>
        <v>0</v>
      </c>
      <c r="E280" s="274">
        <f t="shared" si="43"/>
        <v>0</v>
      </c>
      <c r="F280" s="275"/>
      <c r="G280" s="263"/>
      <c r="H280" s="33"/>
      <c r="I280" s="37"/>
    </row>
    <row r="281" spans="1:9" ht="12.75" customHeight="1">
      <c r="A281" s="32"/>
      <c r="B281" s="33"/>
      <c r="C281" s="35">
        <v>8</v>
      </c>
      <c r="D281" s="274">
        <f t="shared" si="42"/>
        <v>0</v>
      </c>
      <c r="E281" s="274">
        <f t="shared" si="43"/>
        <v>0</v>
      </c>
      <c r="F281" s="275"/>
      <c r="G281" s="263"/>
      <c r="H281" s="33"/>
      <c r="I281" s="37"/>
    </row>
    <row r="282" spans="1:9" ht="12.75" customHeight="1">
      <c r="A282" s="32"/>
      <c r="B282" s="33"/>
      <c r="C282" s="35">
        <v>9</v>
      </c>
      <c r="D282" s="274">
        <f t="shared" si="42"/>
        <v>0</v>
      </c>
      <c r="E282" s="274">
        <f t="shared" si="43"/>
        <v>0</v>
      </c>
      <c r="F282" s="275"/>
      <c r="G282" s="263"/>
      <c r="H282" s="33"/>
      <c r="I282" s="37"/>
    </row>
    <row r="283" spans="1:9" ht="12.75" customHeight="1">
      <c r="A283" s="32"/>
      <c r="B283" s="33"/>
      <c r="C283" s="35">
        <v>10</v>
      </c>
      <c r="D283" s="274">
        <f t="shared" si="42"/>
        <v>0</v>
      </c>
      <c r="E283" s="274">
        <f t="shared" si="43"/>
        <v>0</v>
      </c>
      <c r="F283" s="275"/>
      <c r="G283" s="263"/>
      <c r="H283" s="33"/>
      <c r="I283" s="37"/>
    </row>
    <row r="284" spans="1:9" ht="12.75" customHeight="1">
      <c r="A284" s="32"/>
      <c r="B284" s="33"/>
      <c r="C284" s="35">
        <v>11</v>
      </c>
      <c r="D284" s="274">
        <f t="shared" si="42"/>
        <v>0</v>
      </c>
      <c r="E284" s="274">
        <f t="shared" si="43"/>
        <v>0</v>
      </c>
      <c r="F284" s="275"/>
      <c r="G284" s="263"/>
      <c r="H284" s="33"/>
      <c r="I284" s="37"/>
    </row>
    <row r="285" spans="1:9" ht="12.75" customHeight="1">
      <c r="A285" s="32"/>
      <c r="B285" s="33"/>
      <c r="C285" s="35">
        <v>12</v>
      </c>
      <c r="D285" s="274">
        <f t="shared" si="42"/>
        <v>0</v>
      </c>
      <c r="E285" s="274">
        <f t="shared" si="43"/>
        <v>0</v>
      </c>
      <c r="F285" s="275"/>
      <c r="G285" s="263"/>
      <c r="H285" s="33"/>
      <c r="I285" s="37"/>
    </row>
    <row r="286" spans="1:9" ht="12.75" customHeight="1">
      <c r="A286" s="32"/>
      <c r="B286" s="33"/>
      <c r="C286" s="35">
        <v>13</v>
      </c>
      <c r="D286" s="274">
        <f t="shared" si="42"/>
        <v>0</v>
      </c>
      <c r="E286" s="274">
        <f t="shared" si="43"/>
        <v>0</v>
      </c>
      <c r="F286" s="275"/>
      <c r="G286" s="263"/>
      <c r="H286" s="33"/>
      <c r="I286" s="37"/>
    </row>
    <row r="287" spans="1:9" ht="12.75" customHeight="1">
      <c r="A287" s="32"/>
      <c r="B287" s="33"/>
      <c r="C287" s="35">
        <v>14</v>
      </c>
      <c r="D287" s="274">
        <f t="shared" si="42"/>
        <v>0</v>
      </c>
      <c r="E287" s="274">
        <f t="shared" si="43"/>
        <v>0</v>
      </c>
      <c r="F287" s="275"/>
      <c r="G287" s="263"/>
      <c r="H287" s="33"/>
      <c r="I287" s="37"/>
    </row>
    <row r="288" spans="1:9" ht="12.75" customHeight="1">
      <c r="A288" s="32"/>
      <c r="B288" s="33"/>
      <c r="C288" s="35">
        <v>15</v>
      </c>
      <c r="D288" s="274">
        <f t="shared" si="42"/>
        <v>0</v>
      </c>
      <c r="E288" s="274">
        <f t="shared" si="43"/>
        <v>0</v>
      </c>
      <c r="F288" s="275"/>
      <c r="G288" s="263"/>
      <c r="H288" s="33"/>
      <c r="I288" s="37"/>
    </row>
    <row r="289" spans="1:9" ht="12.75" customHeight="1">
      <c r="A289" s="32"/>
      <c r="B289" s="33"/>
      <c r="C289" s="35">
        <v>16</v>
      </c>
      <c r="D289" s="274">
        <f t="shared" si="42"/>
        <v>0</v>
      </c>
      <c r="E289" s="274">
        <f t="shared" si="43"/>
        <v>0</v>
      </c>
      <c r="F289" s="275"/>
      <c r="G289" s="263"/>
      <c r="H289" s="33"/>
      <c r="I289" s="37"/>
    </row>
    <row r="290" spans="1:9" ht="12.75" customHeight="1">
      <c r="A290" s="32"/>
      <c r="B290" s="33"/>
      <c r="C290" s="35">
        <v>17</v>
      </c>
      <c r="D290" s="274">
        <f t="shared" si="42"/>
        <v>0</v>
      </c>
      <c r="E290" s="274">
        <f t="shared" si="43"/>
        <v>0</v>
      </c>
      <c r="F290" s="275"/>
      <c r="G290" s="263"/>
      <c r="H290" s="33"/>
      <c r="I290" s="37"/>
    </row>
    <row r="291" spans="1:9" ht="12.75" customHeight="1">
      <c r="A291" s="32"/>
      <c r="B291" s="33"/>
      <c r="C291" s="35">
        <v>18</v>
      </c>
      <c r="D291" s="274">
        <f t="shared" si="42"/>
        <v>0</v>
      </c>
      <c r="E291" s="274">
        <f t="shared" si="43"/>
        <v>0</v>
      </c>
      <c r="F291" s="275"/>
      <c r="G291" s="263"/>
      <c r="H291" s="33"/>
      <c r="I291" s="37"/>
    </row>
    <row r="292" spans="1:9" ht="12.75" customHeight="1">
      <c r="A292" s="32"/>
      <c r="B292" s="33"/>
      <c r="C292" s="35">
        <v>19</v>
      </c>
      <c r="D292" s="274">
        <f t="shared" si="42"/>
        <v>0</v>
      </c>
      <c r="E292" s="274">
        <f t="shared" si="43"/>
        <v>0</v>
      </c>
      <c r="F292" s="275"/>
      <c r="G292" s="263"/>
      <c r="H292" s="33"/>
      <c r="I292" s="37"/>
    </row>
    <row r="293" spans="1:9" ht="12.75" customHeight="1">
      <c r="A293" s="32"/>
      <c r="B293" s="33"/>
      <c r="C293" s="35">
        <v>20</v>
      </c>
      <c r="D293" s="274">
        <f t="shared" si="42"/>
        <v>0</v>
      </c>
      <c r="E293" s="274">
        <f t="shared" si="43"/>
        <v>0</v>
      </c>
      <c r="F293" s="275"/>
      <c r="G293" s="263"/>
      <c r="H293" s="33"/>
      <c r="I293" s="37"/>
    </row>
    <row r="294" spans="1:9" ht="12.75" customHeight="1">
      <c r="A294" s="32"/>
      <c r="B294" s="33"/>
      <c r="C294" s="35">
        <v>21</v>
      </c>
      <c r="D294" s="274">
        <f t="shared" si="42"/>
        <v>0</v>
      </c>
      <c r="E294" s="274">
        <f t="shared" si="43"/>
        <v>0</v>
      </c>
      <c r="F294" s="275"/>
      <c r="G294" s="263"/>
      <c r="H294" s="33"/>
      <c r="I294" s="37"/>
    </row>
    <row r="295" spans="1:9" ht="12.75" customHeight="1">
      <c r="A295" s="32"/>
      <c r="B295" s="33"/>
      <c r="C295" s="35">
        <v>22</v>
      </c>
      <c r="D295" s="274">
        <f t="shared" si="42"/>
        <v>0</v>
      </c>
      <c r="E295" s="274">
        <f t="shared" si="43"/>
        <v>0</v>
      </c>
      <c r="F295" s="275"/>
      <c r="G295" s="263"/>
      <c r="H295" s="33"/>
      <c r="I295" s="37"/>
    </row>
    <row r="296" spans="1:9" ht="12.75" customHeight="1">
      <c r="A296" s="32"/>
      <c r="B296" s="33"/>
      <c r="C296" s="35">
        <v>23</v>
      </c>
      <c r="D296" s="274">
        <f t="shared" si="42"/>
        <v>0</v>
      </c>
      <c r="E296" s="274">
        <f t="shared" si="43"/>
        <v>0</v>
      </c>
      <c r="F296" s="275"/>
      <c r="G296" s="263"/>
      <c r="H296" s="33"/>
      <c r="I296" s="37"/>
    </row>
    <row r="297" spans="1:9" ht="12.75" customHeight="1">
      <c r="A297" s="32"/>
      <c r="B297" s="33"/>
      <c r="C297" s="35">
        <v>24</v>
      </c>
      <c r="D297" s="274">
        <f t="shared" si="42"/>
        <v>0</v>
      </c>
      <c r="E297" s="274">
        <f t="shared" si="43"/>
        <v>0</v>
      </c>
      <c r="F297" s="275"/>
      <c r="G297" s="263"/>
      <c r="H297" s="33"/>
      <c r="I297" s="37"/>
    </row>
    <row r="298" spans="1:9" ht="12.75" customHeight="1">
      <c r="A298" s="32"/>
      <c r="B298" s="33"/>
      <c r="C298" s="35">
        <v>25</v>
      </c>
      <c r="D298" s="274">
        <f t="shared" si="42"/>
        <v>0</v>
      </c>
      <c r="E298" s="274">
        <f t="shared" si="43"/>
        <v>0</v>
      </c>
      <c r="F298" s="275"/>
      <c r="G298" s="263"/>
      <c r="H298" s="33"/>
      <c r="I298" s="37"/>
    </row>
    <row r="299" spans="1:9" ht="12.75" customHeight="1">
      <c r="A299" s="32"/>
      <c r="B299" s="33"/>
      <c r="C299" s="35">
        <v>26</v>
      </c>
      <c r="D299" s="274">
        <f t="shared" si="42"/>
        <v>0</v>
      </c>
      <c r="E299" s="274">
        <f t="shared" si="43"/>
        <v>0</v>
      </c>
      <c r="F299" s="275"/>
      <c r="G299" s="263"/>
      <c r="H299" s="33"/>
      <c r="I299" s="37"/>
    </row>
    <row r="300" spans="1:9" ht="12.75" customHeight="1">
      <c r="A300" s="32"/>
      <c r="B300" s="33"/>
      <c r="C300" s="35">
        <v>27</v>
      </c>
      <c r="D300" s="274">
        <f t="shared" si="42"/>
        <v>0</v>
      </c>
      <c r="E300" s="274">
        <f t="shared" si="43"/>
        <v>0</v>
      </c>
      <c r="F300" s="275"/>
      <c r="G300" s="263"/>
      <c r="H300" s="33"/>
      <c r="I300" s="37"/>
    </row>
    <row r="301" spans="1:9" ht="12.75" customHeight="1">
      <c r="A301" s="32"/>
      <c r="B301" s="33"/>
      <c r="C301" s="35">
        <v>28</v>
      </c>
      <c r="D301" s="274">
        <f t="shared" si="42"/>
        <v>0</v>
      </c>
      <c r="E301" s="274">
        <f t="shared" si="43"/>
        <v>0</v>
      </c>
      <c r="F301" s="275"/>
      <c r="G301" s="263"/>
      <c r="H301" s="33"/>
      <c r="I301" s="37"/>
    </row>
    <row r="302" spans="1:9" ht="12.75" customHeight="1">
      <c r="A302" s="32"/>
      <c r="B302" s="33"/>
      <c r="C302" s="35">
        <v>29</v>
      </c>
      <c r="D302" s="274">
        <f t="shared" si="42"/>
        <v>0</v>
      </c>
      <c r="E302" s="274">
        <f t="shared" si="43"/>
        <v>0</v>
      </c>
      <c r="F302" s="275"/>
      <c r="G302" s="263"/>
      <c r="H302" s="33"/>
      <c r="I302" s="37"/>
    </row>
    <row r="303" spans="1:9" ht="12.75" customHeight="1">
      <c r="A303" s="32"/>
      <c r="B303" s="33"/>
      <c r="C303" s="35">
        <v>30</v>
      </c>
      <c r="D303" s="274">
        <f t="shared" si="42"/>
        <v>0</v>
      </c>
      <c r="E303" s="274">
        <f t="shared" si="43"/>
        <v>0</v>
      </c>
      <c r="F303" s="275"/>
      <c r="G303" s="263"/>
      <c r="H303" s="33"/>
      <c r="I303" s="37"/>
    </row>
    <row r="304" spans="1:9" ht="12.75" customHeight="1">
      <c r="A304" s="32"/>
      <c r="B304" s="33"/>
      <c r="C304" s="35">
        <v>31</v>
      </c>
      <c r="D304" s="274">
        <f t="shared" ref="D304:D333" si="44">0.9*MAXA(D172-D39,0)</f>
        <v>0</v>
      </c>
      <c r="E304" s="274">
        <f t="shared" ref="E304:E333" si="45">0.5*MAXA(E172-E39,0)</f>
        <v>0</v>
      </c>
      <c r="F304" s="275"/>
      <c r="G304" s="263"/>
      <c r="H304" s="33"/>
      <c r="I304" s="37"/>
    </row>
    <row r="305" spans="1:9" ht="12.75" customHeight="1">
      <c r="A305" s="32"/>
      <c r="B305" s="33"/>
      <c r="C305" s="35">
        <v>32</v>
      </c>
      <c r="D305" s="274">
        <f t="shared" si="44"/>
        <v>0</v>
      </c>
      <c r="E305" s="274">
        <f t="shared" si="45"/>
        <v>0</v>
      </c>
      <c r="F305" s="275"/>
      <c r="G305" s="263"/>
      <c r="H305" s="33"/>
      <c r="I305" s="37"/>
    </row>
    <row r="306" spans="1:9" ht="12.75" customHeight="1">
      <c r="A306" s="32"/>
      <c r="B306" s="33"/>
      <c r="C306" s="35">
        <v>33</v>
      </c>
      <c r="D306" s="274">
        <f t="shared" si="44"/>
        <v>0</v>
      </c>
      <c r="E306" s="274">
        <f t="shared" si="45"/>
        <v>0</v>
      </c>
      <c r="F306" s="275"/>
      <c r="G306" s="263"/>
      <c r="H306" s="33"/>
      <c r="I306" s="37"/>
    </row>
    <row r="307" spans="1:9" ht="12.75" customHeight="1">
      <c r="A307" s="32"/>
      <c r="B307" s="33"/>
      <c r="C307" s="35">
        <v>34</v>
      </c>
      <c r="D307" s="274">
        <f t="shared" si="44"/>
        <v>0</v>
      </c>
      <c r="E307" s="274">
        <f t="shared" si="45"/>
        <v>0</v>
      </c>
      <c r="F307" s="275"/>
      <c r="G307" s="263"/>
      <c r="H307" s="33"/>
      <c r="I307" s="37"/>
    </row>
    <row r="308" spans="1:9" ht="12.75" customHeight="1">
      <c r="A308" s="32"/>
      <c r="B308" s="33"/>
      <c r="C308" s="35">
        <v>35</v>
      </c>
      <c r="D308" s="274">
        <f t="shared" si="44"/>
        <v>0</v>
      </c>
      <c r="E308" s="274">
        <f t="shared" si="45"/>
        <v>0</v>
      </c>
      <c r="F308" s="275"/>
      <c r="G308" s="263"/>
      <c r="H308" s="33"/>
      <c r="I308" s="37"/>
    </row>
    <row r="309" spans="1:9" ht="12.75" customHeight="1">
      <c r="A309" s="32"/>
      <c r="B309" s="33"/>
      <c r="C309" s="35">
        <v>36</v>
      </c>
      <c r="D309" s="274">
        <f t="shared" si="44"/>
        <v>0</v>
      </c>
      <c r="E309" s="274">
        <f t="shared" si="45"/>
        <v>0</v>
      </c>
      <c r="F309" s="275"/>
      <c r="G309" s="263"/>
      <c r="H309" s="33"/>
      <c r="I309" s="37"/>
    </row>
    <row r="310" spans="1:9" ht="12.75" customHeight="1">
      <c r="A310" s="32"/>
      <c r="B310" s="33"/>
      <c r="C310" s="35">
        <v>37</v>
      </c>
      <c r="D310" s="274">
        <f t="shared" si="44"/>
        <v>0</v>
      </c>
      <c r="E310" s="274">
        <f t="shared" si="45"/>
        <v>0</v>
      </c>
      <c r="F310" s="275"/>
      <c r="G310" s="263"/>
      <c r="H310" s="33"/>
      <c r="I310" s="37"/>
    </row>
    <row r="311" spans="1:9" ht="12.75" customHeight="1">
      <c r="A311" s="32"/>
      <c r="B311" s="33"/>
      <c r="C311" s="35">
        <v>38</v>
      </c>
      <c r="D311" s="274">
        <f t="shared" si="44"/>
        <v>0</v>
      </c>
      <c r="E311" s="274">
        <f t="shared" si="45"/>
        <v>0</v>
      </c>
      <c r="F311" s="275"/>
      <c r="G311" s="263"/>
      <c r="H311" s="33"/>
      <c r="I311" s="37"/>
    </row>
    <row r="312" spans="1:9" ht="12.75" customHeight="1">
      <c r="A312" s="32"/>
      <c r="B312" s="33"/>
      <c r="C312" s="35">
        <v>39</v>
      </c>
      <c r="D312" s="274">
        <f t="shared" si="44"/>
        <v>0</v>
      </c>
      <c r="E312" s="274">
        <f t="shared" si="45"/>
        <v>0</v>
      </c>
      <c r="F312" s="275"/>
      <c r="G312" s="263"/>
      <c r="H312" s="33"/>
      <c r="I312" s="37"/>
    </row>
    <row r="313" spans="1:9" ht="12.75" customHeight="1">
      <c r="A313" s="32"/>
      <c r="B313" s="33"/>
      <c r="C313" s="35">
        <v>40</v>
      </c>
      <c r="D313" s="274">
        <f t="shared" si="44"/>
        <v>0</v>
      </c>
      <c r="E313" s="274">
        <f t="shared" si="45"/>
        <v>0</v>
      </c>
      <c r="F313" s="275"/>
      <c r="G313" s="263"/>
      <c r="H313" s="33"/>
      <c r="I313" s="37"/>
    </row>
    <row r="314" spans="1:9" ht="12.75" customHeight="1">
      <c r="A314" s="32"/>
      <c r="B314" s="33"/>
      <c r="C314" s="35">
        <v>41</v>
      </c>
      <c r="D314" s="274">
        <f t="shared" si="44"/>
        <v>0</v>
      </c>
      <c r="E314" s="274">
        <f t="shared" si="45"/>
        <v>0</v>
      </c>
      <c r="F314" s="275"/>
      <c r="G314" s="263"/>
      <c r="H314" s="33"/>
      <c r="I314" s="37"/>
    </row>
    <row r="315" spans="1:9" ht="12.75" customHeight="1">
      <c r="A315" s="32"/>
      <c r="B315" s="33"/>
      <c r="C315" s="35">
        <v>42</v>
      </c>
      <c r="D315" s="274">
        <f t="shared" si="44"/>
        <v>0</v>
      </c>
      <c r="E315" s="274">
        <f t="shared" si="45"/>
        <v>0</v>
      </c>
      <c r="F315" s="275"/>
      <c r="G315" s="263"/>
      <c r="H315" s="33"/>
      <c r="I315" s="37"/>
    </row>
    <row r="316" spans="1:9" ht="12.75" customHeight="1">
      <c r="A316" s="32"/>
      <c r="B316" s="33"/>
      <c r="C316" s="35">
        <v>43</v>
      </c>
      <c r="D316" s="274">
        <f t="shared" si="44"/>
        <v>0</v>
      </c>
      <c r="E316" s="274">
        <f t="shared" si="45"/>
        <v>0</v>
      </c>
      <c r="F316" s="275"/>
      <c r="G316" s="263"/>
      <c r="H316" s="33"/>
      <c r="I316" s="37"/>
    </row>
    <row r="317" spans="1:9" ht="12.75" customHeight="1">
      <c r="A317" s="32"/>
      <c r="B317" s="33"/>
      <c r="C317" s="35">
        <v>44</v>
      </c>
      <c r="D317" s="274">
        <f t="shared" si="44"/>
        <v>0</v>
      </c>
      <c r="E317" s="274">
        <f t="shared" si="45"/>
        <v>0</v>
      </c>
      <c r="F317" s="275"/>
      <c r="G317" s="263"/>
      <c r="H317" s="33"/>
      <c r="I317" s="37"/>
    </row>
    <row r="318" spans="1:9" ht="12.75" customHeight="1">
      <c r="A318" s="32"/>
      <c r="B318" s="33"/>
      <c r="C318" s="35">
        <v>45</v>
      </c>
      <c r="D318" s="274">
        <f t="shared" si="44"/>
        <v>0</v>
      </c>
      <c r="E318" s="274">
        <f t="shared" si="45"/>
        <v>0</v>
      </c>
      <c r="F318" s="275"/>
      <c r="G318" s="263"/>
      <c r="H318" s="33"/>
      <c r="I318" s="37"/>
    </row>
    <row r="319" spans="1:9" ht="12.75" customHeight="1">
      <c r="A319" s="32"/>
      <c r="B319" s="33"/>
      <c r="C319" s="35">
        <v>46</v>
      </c>
      <c r="D319" s="274">
        <f t="shared" si="44"/>
        <v>0</v>
      </c>
      <c r="E319" s="274">
        <f t="shared" si="45"/>
        <v>0</v>
      </c>
      <c r="F319" s="275"/>
      <c r="G319" s="263"/>
      <c r="H319" s="33"/>
      <c r="I319" s="37"/>
    </row>
    <row r="320" spans="1:9" ht="12.75" customHeight="1">
      <c r="A320" s="32"/>
      <c r="B320" s="33"/>
      <c r="C320" s="35">
        <v>47</v>
      </c>
      <c r="D320" s="274">
        <f t="shared" si="44"/>
        <v>0</v>
      </c>
      <c r="E320" s="274">
        <f t="shared" si="45"/>
        <v>0</v>
      </c>
      <c r="F320" s="275"/>
      <c r="G320" s="263"/>
      <c r="H320" s="33"/>
      <c r="I320" s="37"/>
    </row>
    <row r="321" spans="1:9" ht="12.75" customHeight="1">
      <c r="A321" s="32"/>
      <c r="B321" s="33"/>
      <c r="C321" s="35">
        <v>48</v>
      </c>
      <c r="D321" s="274">
        <f t="shared" si="44"/>
        <v>0</v>
      </c>
      <c r="E321" s="274">
        <f t="shared" si="45"/>
        <v>0</v>
      </c>
      <c r="F321" s="275"/>
      <c r="G321" s="263"/>
      <c r="H321" s="33"/>
      <c r="I321" s="37"/>
    </row>
    <row r="322" spans="1:9" ht="12.75" customHeight="1">
      <c r="A322" s="32"/>
      <c r="B322" s="33"/>
      <c r="C322" s="35">
        <v>49</v>
      </c>
      <c r="D322" s="274">
        <f t="shared" si="44"/>
        <v>0</v>
      </c>
      <c r="E322" s="274">
        <f t="shared" si="45"/>
        <v>0</v>
      </c>
      <c r="F322" s="275"/>
      <c r="G322" s="263"/>
      <c r="H322" s="33"/>
      <c r="I322" s="37"/>
    </row>
    <row r="323" spans="1:9" ht="12.75" customHeight="1">
      <c r="A323" s="32"/>
      <c r="B323" s="33"/>
      <c r="C323" s="35">
        <v>50</v>
      </c>
      <c r="D323" s="274">
        <f t="shared" si="44"/>
        <v>0</v>
      </c>
      <c r="E323" s="274">
        <f t="shared" si="45"/>
        <v>0</v>
      </c>
      <c r="F323" s="275"/>
      <c r="G323" s="263"/>
      <c r="H323" s="33"/>
      <c r="I323" s="37"/>
    </row>
    <row r="324" spans="1:9" ht="12.75" customHeight="1">
      <c r="A324" s="32"/>
      <c r="B324" s="33"/>
      <c r="C324" s="35">
        <v>51</v>
      </c>
      <c r="D324" s="274">
        <f t="shared" si="44"/>
        <v>0</v>
      </c>
      <c r="E324" s="274">
        <f t="shared" si="45"/>
        <v>0</v>
      </c>
      <c r="F324" s="275"/>
      <c r="G324" s="263"/>
      <c r="H324" s="33"/>
      <c r="I324" s="37"/>
    </row>
    <row r="325" spans="1:9" ht="12.75" customHeight="1">
      <c r="A325" s="32"/>
      <c r="B325" s="33"/>
      <c r="C325" s="35">
        <v>52</v>
      </c>
      <c r="D325" s="274">
        <f t="shared" si="44"/>
        <v>0</v>
      </c>
      <c r="E325" s="274">
        <f t="shared" si="45"/>
        <v>0</v>
      </c>
      <c r="F325" s="275"/>
      <c r="G325" s="263"/>
      <c r="H325" s="33"/>
      <c r="I325" s="37"/>
    </row>
    <row r="326" spans="1:9" ht="12.75" customHeight="1">
      <c r="A326" s="32"/>
      <c r="B326" s="33"/>
      <c r="C326" s="35">
        <v>53</v>
      </c>
      <c r="D326" s="274">
        <f t="shared" si="44"/>
        <v>0</v>
      </c>
      <c r="E326" s="274">
        <f t="shared" si="45"/>
        <v>0</v>
      </c>
      <c r="F326" s="275"/>
      <c r="G326" s="263"/>
      <c r="H326" s="33"/>
      <c r="I326" s="37"/>
    </row>
    <row r="327" spans="1:9" ht="12.75" customHeight="1">
      <c r="A327" s="32"/>
      <c r="B327" s="33"/>
      <c r="C327" s="35">
        <v>54</v>
      </c>
      <c r="D327" s="274">
        <f t="shared" si="44"/>
        <v>0</v>
      </c>
      <c r="E327" s="274">
        <f t="shared" si="45"/>
        <v>0</v>
      </c>
      <c r="F327" s="275"/>
      <c r="G327" s="263"/>
      <c r="H327" s="33"/>
      <c r="I327" s="37"/>
    </row>
    <row r="328" spans="1:9" ht="12.75" customHeight="1">
      <c r="A328" s="32"/>
      <c r="B328" s="33"/>
      <c r="C328" s="35">
        <v>55</v>
      </c>
      <c r="D328" s="274">
        <f t="shared" si="44"/>
        <v>0</v>
      </c>
      <c r="E328" s="274">
        <f t="shared" si="45"/>
        <v>0</v>
      </c>
      <c r="F328" s="275"/>
      <c r="G328" s="263"/>
      <c r="H328" s="33"/>
      <c r="I328" s="37"/>
    </row>
    <row r="329" spans="1:9" ht="12.75" customHeight="1">
      <c r="A329" s="32"/>
      <c r="B329" s="33"/>
      <c r="C329" s="35">
        <v>56</v>
      </c>
      <c r="D329" s="274">
        <f t="shared" si="44"/>
        <v>0</v>
      </c>
      <c r="E329" s="274">
        <f t="shared" si="45"/>
        <v>0</v>
      </c>
      <c r="F329" s="275"/>
      <c r="G329" s="263"/>
      <c r="H329" s="33"/>
      <c r="I329" s="37"/>
    </row>
    <row r="330" spans="1:9" ht="12.75" customHeight="1">
      <c r="A330" s="32"/>
      <c r="B330" s="33"/>
      <c r="C330" s="35">
        <v>57</v>
      </c>
      <c r="D330" s="274">
        <f t="shared" si="44"/>
        <v>0</v>
      </c>
      <c r="E330" s="274">
        <f t="shared" si="45"/>
        <v>0</v>
      </c>
      <c r="F330" s="275"/>
      <c r="G330" s="263"/>
      <c r="H330" s="33"/>
      <c r="I330" s="37"/>
    </row>
    <row r="331" spans="1:9" ht="12.75" customHeight="1">
      <c r="A331" s="32"/>
      <c r="B331" s="33"/>
      <c r="C331" s="35">
        <v>58</v>
      </c>
      <c r="D331" s="274">
        <f t="shared" si="44"/>
        <v>0</v>
      </c>
      <c r="E331" s="274">
        <f t="shared" si="45"/>
        <v>0</v>
      </c>
      <c r="F331" s="275"/>
      <c r="G331" s="263"/>
      <c r="H331" s="33"/>
      <c r="I331" s="37"/>
    </row>
    <row r="332" spans="1:9" ht="12.75" customHeight="1">
      <c r="A332" s="32"/>
      <c r="B332" s="33"/>
      <c r="C332" s="35">
        <v>59</v>
      </c>
      <c r="D332" s="274">
        <f t="shared" si="44"/>
        <v>0</v>
      </c>
      <c r="E332" s="274">
        <f t="shared" si="45"/>
        <v>0</v>
      </c>
      <c r="F332" s="275"/>
      <c r="G332" s="263"/>
      <c r="H332" s="33"/>
      <c r="I332" s="37"/>
    </row>
    <row r="333" spans="1:9" ht="12.75" customHeight="1">
      <c r="A333" s="32"/>
      <c r="B333" s="33"/>
      <c r="C333" s="35">
        <v>60</v>
      </c>
      <c r="D333" s="274">
        <f t="shared" si="44"/>
        <v>0</v>
      </c>
      <c r="E333" s="274">
        <f t="shared" si="45"/>
        <v>0</v>
      </c>
      <c r="F333" s="275"/>
      <c r="G333" s="263"/>
      <c r="H333" s="33"/>
      <c r="I333" s="37"/>
    </row>
    <row r="334" spans="1:9" ht="15.9" customHeight="1">
      <c r="A334" s="32"/>
      <c r="B334" s="259" t="s">
        <v>606</v>
      </c>
      <c r="C334" s="259"/>
      <c r="D334" s="396">
        <f>SUM(D274:D333)</f>
        <v>0</v>
      </c>
      <c r="E334" s="396">
        <f>SUM(E274:E333)</f>
        <v>0</v>
      </c>
      <c r="F334" s="275"/>
      <c r="G334" s="263"/>
      <c r="H334" s="33"/>
      <c r="I334" s="37"/>
    </row>
    <row r="335" spans="1:9" ht="15.9" customHeight="1">
      <c r="A335" s="32"/>
      <c r="B335" s="33"/>
      <c r="C335" s="259"/>
      <c r="D335" s="263"/>
      <c r="E335" s="263"/>
      <c r="F335" s="263"/>
      <c r="G335" s="263"/>
      <c r="H335" s="33"/>
      <c r="I335" s="37"/>
    </row>
    <row r="336" spans="1:9" ht="15.9" customHeight="1">
      <c r="A336" s="32"/>
      <c r="B336" s="33"/>
      <c r="C336" s="259"/>
      <c r="D336" s="263"/>
      <c r="E336" s="263"/>
      <c r="F336" s="263"/>
      <c r="G336" s="263"/>
      <c r="H336" s="33"/>
      <c r="I336" s="37"/>
    </row>
    <row r="337" spans="1:9" ht="15.9" customHeight="1">
      <c r="A337" s="32"/>
      <c r="B337" s="60" t="s">
        <v>607</v>
      </c>
      <c r="C337" s="431" t="s">
        <v>663</v>
      </c>
      <c r="D337" s="431"/>
      <c r="E337" s="431"/>
      <c r="F337" s="431"/>
      <c r="G337" s="443"/>
      <c r="H337" s="443"/>
      <c r="I337" s="37"/>
    </row>
    <row r="338" spans="1:9" ht="15.9" customHeight="1">
      <c r="A338" s="32"/>
      <c r="B338" s="33"/>
      <c r="C338" s="259"/>
      <c r="D338" s="263"/>
      <c r="E338" s="263"/>
      <c r="F338" s="263"/>
      <c r="G338" s="263"/>
      <c r="H338" s="33"/>
      <c r="I338" s="37"/>
    </row>
    <row r="339" spans="1:9" ht="20.149999999999999" customHeight="1">
      <c r="A339" s="32"/>
      <c r="B339" s="33"/>
      <c r="C339" s="259"/>
      <c r="D339" s="247" t="s">
        <v>56</v>
      </c>
      <c r="E339" s="247" t="s">
        <v>57</v>
      </c>
      <c r="F339" s="247" t="s">
        <v>58</v>
      </c>
      <c r="G339" s="246" t="s">
        <v>61</v>
      </c>
      <c r="H339" s="33"/>
      <c r="I339" s="37"/>
    </row>
    <row r="340" spans="1:9" ht="15.9" customHeight="1">
      <c r="A340" s="197"/>
      <c r="B340" s="259" t="s">
        <v>608</v>
      </c>
      <c r="C340" s="259"/>
      <c r="D340" s="396">
        <f>D202+D268-D334</f>
        <v>0</v>
      </c>
      <c r="E340" s="396">
        <f>E202+E268-E334</f>
        <v>0</v>
      </c>
      <c r="F340" s="396">
        <f>F202+F268</f>
        <v>0</v>
      </c>
      <c r="G340" s="396">
        <f>SUM(D340:F340)</f>
        <v>0</v>
      </c>
      <c r="H340" s="33"/>
      <c r="I340" s="37"/>
    </row>
    <row r="341" spans="1:9" ht="12.75" customHeight="1">
      <c r="A341" s="32"/>
      <c r="B341" s="33"/>
      <c r="C341" s="259"/>
      <c r="D341" s="263"/>
      <c r="E341" s="263"/>
      <c r="F341" s="263"/>
      <c r="G341" s="263"/>
      <c r="H341" s="33"/>
      <c r="I341" s="37"/>
    </row>
    <row r="342" spans="1:9" ht="12.75" customHeight="1">
      <c r="A342" s="32"/>
      <c r="B342" s="33"/>
      <c r="C342" s="259"/>
      <c r="D342" s="263"/>
      <c r="E342" s="263"/>
      <c r="F342" s="263"/>
      <c r="G342" s="263"/>
      <c r="H342" s="33"/>
      <c r="I342" s="37"/>
    </row>
    <row r="343" spans="1:9" ht="18" customHeight="1">
      <c r="A343" s="32"/>
      <c r="B343" s="113" t="s">
        <v>609</v>
      </c>
      <c r="C343" s="259"/>
      <c r="D343" s="263"/>
      <c r="E343" s="263"/>
      <c r="F343" s="263"/>
      <c r="G343" s="263"/>
      <c r="H343" s="33"/>
      <c r="I343" s="37"/>
    </row>
    <row r="344" spans="1:9" ht="15.9" customHeight="1">
      <c r="A344" s="32"/>
      <c r="B344" s="59"/>
      <c r="C344" s="259"/>
      <c r="D344" s="263"/>
      <c r="E344" s="263"/>
      <c r="F344" s="263"/>
      <c r="G344" s="263"/>
      <c r="H344" s="33"/>
      <c r="I344" s="37"/>
    </row>
    <row r="345" spans="1:9" ht="15.9" customHeight="1">
      <c r="A345" s="32"/>
      <c r="B345" s="60" t="s">
        <v>610</v>
      </c>
      <c r="C345" s="30" t="s">
        <v>80</v>
      </c>
      <c r="D345" s="33"/>
      <c r="E345" s="263"/>
      <c r="F345" s="263"/>
      <c r="G345" s="33"/>
      <c r="H345" s="33"/>
      <c r="I345" s="37"/>
    </row>
    <row r="346" spans="1:9" ht="15.9" customHeight="1">
      <c r="A346" s="32"/>
      <c r="B346" s="33"/>
      <c r="C346" s="259"/>
      <c r="D346" s="263"/>
      <c r="E346" s="263"/>
      <c r="F346" s="263"/>
      <c r="G346" s="263"/>
      <c r="H346" s="33"/>
      <c r="I346" s="37"/>
    </row>
    <row r="347" spans="1:9" ht="20.149999999999999" customHeight="1">
      <c r="A347" s="32"/>
      <c r="B347" s="259" t="s">
        <v>611</v>
      </c>
      <c r="C347" s="246" t="s">
        <v>591</v>
      </c>
      <c r="D347" s="247" t="s">
        <v>56</v>
      </c>
      <c r="E347" s="247" t="s">
        <v>57</v>
      </c>
      <c r="F347" s="247" t="s">
        <v>58</v>
      </c>
      <c r="G347" s="33"/>
      <c r="H347" s="33"/>
      <c r="I347" s="37"/>
    </row>
    <row r="348" spans="1:9" ht="12.75" customHeight="1">
      <c r="A348" s="32"/>
      <c r="B348" s="33"/>
      <c r="C348" s="35">
        <v>1</v>
      </c>
      <c r="D348" s="274">
        <f>AVERAGE('Vedlegg 1 - Rentekurve'!$D9:D10)-D77</f>
        <v>4.759E-2</v>
      </c>
      <c r="E348" s="274">
        <f>AVERAGE('Vedlegg 1 - Rentekurve'!$D9:D10)-E77</f>
        <v>4.759E-2</v>
      </c>
      <c r="F348" s="274">
        <f>AVERAGE('Vedlegg 1 - Rentekurve'!$D9:D10)-F77</f>
        <v>4.759E-2</v>
      </c>
      <c r="G348" s="33"/>
      <c r="H348" s="33"/>
      <c r="I348" s="37"/>
    </row>
    <row r="349" spans="1:9" ht="12.75" customHeight="1">
      <c r="A349" s="32"/>
      <c r="B349" s="33"/>
      <c r="C349" s="35">
        <v>2</v>
      </c>
      <c r="D349" s="274">
        <f>AVERAGE('Vedlegg 1 - Rentekurve'!$D10:D11)-D78</f>
        <v>4.727E-2</v>
      </c>
      <c r="E349" s="274">
        <f>AVERAGE('Vedlegg 1 - Rentekurve'!$D10:D11)-E78</f>
        <v>4.727E-2</v>
      </c>
      <c r="F349" s="274">
        <f>AVERAGE('Vedlegg 1 - Rentekurve'!$D10:D11)-F78</f>
        <v>4.727E-2</v>
      </c>
      <c r="G349" s="33"/>
      <c r="H349" s="33"/>
      <c r="I349" s="37"/>
    </row>
    <row r="350" spans="1:9" ht="12.75" customHeight="1">
      <c r="A350" s="32"/>
      <c r="B350" s="33"/>
      <c r="C350" s="35">
        <v>3</v>
      </c>
      <c r="D350" s="274">
        <f>AVERAGE('Vedlegg 1 - Rentekurve'!$D11:D12)-D79</f>
        <v>4.6469999999999997E-2</v>
      </c>
      <c r="E350" s="274">
        <f>AVERAGE('Vedlegg 1 - Rentekurve'!$D11:D12)-E79</f>
        <v>4.6469999999999997E-2</v>
      </c>
      <c r="F350" s="274">
        <f>AVERAGE('Vedlegg 1 - Rentekurve'!$D11:D12)-F79</f>
        <v>4.6469999999999997E-2</v>
      </c>
      <c r="G350" s="33"/>
      <c r="H350" s="33"/>
      <c r="I350" s="37"/>
    </row>
    <row r="351" spans="1:9" ht="12.75" customHeight="1">
      <c r="A351" s="32"/>
      <c r="B351" s="33"/>
      <c r="C351" s="35">
        <v>4</v>
      </c>
      <c r="D351" s="274">
        <f>AVERAGE('Vedlegg 1 - Rentekurve'!$D12:D13)-D80</f>
        <v>4.5560000000000003E-2</v>
      </c>
      <c r="E351" s="274">
        <f>AVERAGE('Vedlegg 1 - Rentekurve'!$D12:D13)-E80</f>
        <v>4.5560000000000003E-2</v>
      </c>
      <c r="F351" s="274">
        <f>AVERAGE('Vedlegg 1 - Rentekurve'!$D12:D13)-F80</f>
        <v>4.5560000000000003E-2</v>
      </c>
      <c r="G351" s="33"/>
      <c r="H351" s="33"/>
      <c r="I351" s="37"/>
    </row>
    <row r="352" spans="1:9" ht="12.75" customHeight="1">
      <c r="A352" s="32"/>
      <c r="B352" s="33"/>
      <c r="C352" s="35">
        <v>5</v>
      </c>
      <c r="D352" s="274">
        <f>AVERAGE('Vedlegg 1 - Rentekurve'!$D13:D14)-D81</f>
        <v>4.4840000000000005E-2</v>
      </c>
      <c r="E352" s="274">
        <f>AVERAGE('Vedlegg 1 - Rentekurve'!$D13:D14)-E81</f>
        <v>4.4840000000000005E-2</v>
      </c>
      <c r="F352" s="274">
        <f>AVERAGE('Vedlegg 1 - Rentekurve'!$D13:D14)-F81</f>
        <v>4.4840000000000005E-2</v>
      </c>
      <c r="G352" s="33"/>
      <c r="H352" s="33"/>
      <c r="I352" s="37"/>
    </row>
    <row r="353" spans="1:9" ht="12.75" customHeight="1">
      <c r="A353" s="32"/>
      <c r="B353" s="33"/>
      <c r="C353" s="35">
        <v>6</v>
      </c>
      <c r="D353" s="274">
        <f>AVERAGE('Vedlegg 1 - Rentekurve'!$D14:D15)-D82</f>
        <v>4.4395000000000004E-2</v>
      </c>
      <c r="E353" s="274">
        <f>AVERAGE('Vedlegg 1 - Rentekurve'!$D14:D15)-E82</f>
        <v>4.4395000000000004E-2</v>
      </c>
      <c r="F353" s="274">
        <f>AVERAGE('Vedlegg 1 - Rentekurve'!$D14:D15)-F82</f>
        <v>4.4395000000000004E-2</v>
      </c>
      <c r="G353" s="33"/>
      <c r="H353" s="33"/>
      <c r="I353" s="37"/>
    </row>
    <row r="354" spans="1:9" ht="12.75" customHeight="1">
      <c r="A354" s="32"/>
      <c r="B354" s="33"/>
      <c r="C354" s="35">
        <v>7</v>
      </c>
      <c r="D354" s="274">
        <f>AVERAGE('Vedlegg 1 - Rentekurve'!$D15:D16)-D83</f>
        <v>4.4164999999999996E-2</v>
      </c>
      <c r="E354" s="274">
        <f>AVERAGE('Vedlegg 1 - Rentekurve'!$D15:D16)-E83</f>
        <v>4.4164999999999996E-2</v>
      </c>
      <c r="F354" s="274">
        <f>AVERAGE('Vedlegg 1 - Rentekurve'!$D15:D16)-F83</f>
        <v>4.4164999999999996E-2</v>
      </c>
      <c r="G354" s="33"/>
      <c r="H354" s="33"/>
      <c r="I354" s="37"/>
    </row>
    <row r="355" spans="1:9" ht="12.75" customHeight="1">
      <c r="A355" s="32"/>
      <c r="B355" s="33"/>
      <c r="C355" s="35">
        <v>8</v>
      </c>
      <c r="D355" s="274">
        <f>AVERAGE('Vedlegg 1 - Rentekurve'!$D16:D17)-D84</f>
        <v>4.4049999999999999E-2</v>
      </c>
      <c r="E355" s="274">
        <f>AVERAGE('Vedlegg 1 - Rentekurve'!$D16:D17)-E84</f>
        <v>4.4049999999999999E-2</v>
      </c>
      <c r="F355" s="274">
        <f>AVERAGE('Vedlegg 1 - Rentekurve'!$D16:D17)-F84</f>
        <v>4.4049999999999999E-2</v>
      </c>
      <c r="G355" s="33"/>
      <c r="H355" s="33"/>
      <c r="I355" s="37"/>
    </row>
    <row r="356" spans="1:9" ht="12.75" customHeight="1">
      <c r="A356" s="32"/>
      <c r="B356" s="33"/>
      <c r="C356" s="35">
        <v>9</v>
      </c>
      <c r="D356" s="274">
        <f>AVERAGE('Vedlegg 1 - Rentekurve'!$D17:D18)-D85</f>
        <v>4.3984999999999996E-2</v>
      </c>
      <c r="E356" s="274">
        <f>AVERAGE('Vedlegg 1 - Rentekurve'!$D17:D18)-E85</f>
        <v>4.3984999999999996E-2</v>
      </c>
      <c r="F356" s="274">
        <f>AVERAGE('Vedlegg 1 - Rentekurve'!$D17:D18)-F85</f>
        <v>4.3984999999999996E-2</v>
      </c>
      <c r="G356" s="33"/>
      <c r="H356" s="33"/>
      <c r="I356" s="37"/>
    </row>
    <row r="357" spans="1:9" ht="12.75" customHeight="1">
      <c r="A357" s="32"/>
      <c r="B357" s="33"/>
      <c r="C357" s="35">
        <v>10</v>
      </c>
      <c r="D357" s="274">
        <f>AVERAGE('Vedlegg 1 - Rentekurve'!$D18:D19)-D86</f>
        <v>4.3924999999999999E-2</v>
      </c>
      <c r="E357" s="274">
        <f>AVERAGE('Vedlegg 1 - Rentekurve'!$D18:D19)-E86</f>
        <v>4.3924999999999999E-2</v>
      </c>
      <c r="F357" s="274">
        <f>AVERAGE('Vedlegg 1 - Rentekurve'!$D18:D19)-F86</f>
        <v>4.3924999999999999E-2</v>
      </c>
      <c r="G357" s="33"/>
      <c r="H357" s="33"/>
      <c r="I357" s="37"/>
    </row>
    <row r="358" spans="1:9" ht="12.75" customHeight="1">
      <c r="A358" s="32"/>
      <c r="B358" s="33"/>
      <c r="C358" s="35">
        <v>11</v>
      </c>
      <c r="D358" s="274">
        <f>AVERAGE('Vedlegg 1 - Rentekurve'!$D19:D20)-D87</f>
        <v>4.3830000000000001E-2</v>
      </c>
      <c r="E358" s="274">
        <f>AVERAGE('Vedlegg 1 - Rentekurve'!$D19:D20)-E87</f>
        <v>4.3830000000000001E-2</v>
      </c>
      <c r="F358" s="274">
        <f>AVERAGE('Vedlegg 1 - Rentekurve'!$D19:D20)-F87</f>
        <v>4.3830000000000001E-2</v>
      </c>
      <c r="G358" s="33"/>
      <c r="H358" s="33"/>
      <c r="I358" s="37"/>
    </row>
    <row r="359" spans="1:9" ht="12.75" customHeight="1">
      <c r="A359" s="32"/>
      <c r="B359" s="33"/>
      <c r="C359" s="35">
        <v>12</v>
      </c>
      <c r="D359" s="274">
        <f>AVERAGE('Vedlegg 1 - Rentekurve'!$D20:D21)-D88</f>
        <v>4.3690000000000007E-2</v>
      </c>
      <c r="E359" s="274">
        <f>AVERAGE('Vedlegg 1 - Rentekurve'!$D20:D21)-E88</f>
        <v>4.3690000000000007E-2</v>
      </c>
      <c r="F359" s="274">
        <f>AVERAGE('Vedlegg 1 - Rentekurve'!$D20:D21)-F88</f>
        <v>4.3690000000000007E-2</v>
      </c>
      <c r="G359" s="33"/>
      <c r="H359" s="33"/>
      <c r="I359" s="37"/>
    </row>
    <row r="360" spans="1:9" ht="12.75" customHeight="1">
      <c r="A360" s="32"/>
      <c r="B360" s="33"/>
      <c r="C360" s="35">
        <v>13</v>
      </c>
      <c r="D360" s="274">
        <f>AVERAGE('Vedlegg 1 - Rentekurve'!$D21:D22)-D89</f>
        <v>4.351E-2</v>
      </c>
      <c r="E360" s="274">
        <f>AVERAGE('Vedlegg 1 - Rentekurve'!$D21:D22)-E89</f>
        <v>4.351E-2</v>
      </c>
      <c r="F360" s="274">
        <f>AVERAGE('Vedlegg 1 - Rentekurve'!$D21:D22)-F89</f>
        <v>4.351E-2</v>
      </c>
      <c r="G360" s="33"/>
      <c r="H360" s="33"/>
      <c r="I360" s="37"/>
    </row>
    <row r="361" spans="1:9" ht="12.75" customHeight="1">
      <c r="A361" s="32"/>
      <c r="B361" s="33"/>
      <c r="C361" s="35">
        <v>14</v>
      </c>
      <c r="D361" s="274">
        <f>AVERAGE('Vedlegg 1 - Rentekurve'!$D22:D23)-D90</f>
        <v>4.3304999999999996E-2</v>
      </c>
      <c r="E361" s="274">
        <f>AVERAGE('Vedlegg 1 - Rentekurve'!$D22:D23)-E90</f>
        <v>4.3304999999999996E-2</v>
      </c>
      <c r="F361" s="274">
        <f>AVERAGE('Vedlegg 1 - Rentekurve'!$D22:D23)-F90</f>
        <v>4.3304999999999996E-2</v>
      </c>
      <c r="G361" s="33"/>
      <c r="H361" s="33"/>
      <c r="I361" s="37"/>
    </row>
    <row r="362" spans="1:9" ht="12.75" customHeight="1">
      <c r="A362" s="32"/>
      <c r="B362" s="33"/>
      <c r="C362" s="35">
        <v>15</v>
      </c>
      <c r="D362" s="274">
        <f>AVERAGE('Vedlegg 1 - Rentekurve'!$D23:D24)-D91</f>
        <v>4.3084999999999998E-2</v>
      </c>
      <c r="E362" s="274">
        <f>AVERAGE('Vedlegg 1 - Rentekurve'!$D23:D24)-E91</f>
        <v>4.3084999999999998E-2</v>
      </c>
      <c r="F362" s="274">
        <f>AVERAGE('Vedlegg 1 - Rentekurve'!$D23:D24)-F91</f>
        <v>4.3084999999999998E-2</v>
      </c>
      <c r="G362" s="33"/>
      <c r="H362" s="33"/>
      <c r="I362" s="37"/>
    </row>
    <row r="363" spans="1:9" ht="12.75" customHeight="1">
      <c r="A363" s="32"/>
      <c r="B363" s="33"/>
      <c r="C363" s="35">
        <v>16</v>
      </c>
      <c r="D363" s="274">
        <f>AVERAGE('Vedlegg 1 - Rentekurve'!$D24:D25)-D92</f>
        <v>4.2855000000000004E-2</v>
      </c>
      <c r="E363" s="274">
        <f>AVERAGE('Vedlegg 1 - Rentekurve'!$D24:D25)-E92</f>
        <v>4.2855000000000004E-2</v>
      </c>
      <c r="F363" s="274">
        <f>AVERAGE('Vedlegg 1 - Rentekurve'!$D24:D25)-F92</f>
        <v>4.2855000000000004E-2</v>
      </c>
      <c r="G363" s="33"/>
      <c r="H363" s="33"/>
      <c r="I363" s="37"/>
    </row>
    <row r="364" spans="1:9" ht="12.75" customHeight="1">
      <c r="A364" s="32"/>
      <c r="B364" s="33"/>
      <c r="C364" s="35">
        <v>17</v>
      </c>
      <c r="D364" s="274">
        <f>AVERAGE('Vedlegg 1 - Rentekurve'!$D25:D26)-D93</f>
        <v>4.2620000000000005E-2</v>
      </c>
      <c r="E364" s="274">
        <f>AVERAGE('Vedlegg 1 - Rentekurve'!$D25:D26)-E93</f>
        <v>4.2620000000000005E-2</v>
      </c>
      <c r="F364" s="274">
        <f>AVERAGE('Vedlegg 1 - Rentekurve'!$D25:D26)-F93</f>
        <v>4.2620000000000005E-2</v>
      </c>
      <c r="G364" s="33"/>
      <c r="H364" s="33"/>
      <c r="I364" s="37"/>
    </row>
    <row r="365" spans="1:9" ht="12.75" customHeight="1">
      <c r="A365" s="32"/>
      <c r="B365" s="33"/>
      <c r="C365" s="35">
        <v>18</v>
      </c>
      <c r="D365" s="274">
        <f>AVERAGE('Vedlegg 1 - Rentekurve'!$D26:D27)-D94</f>
        <v>4.2380000000000001E-2</v>
      </c>
      <c r="E365" s="274">
        <f>AVERAGE('Vedlegg 1 - Rentekurve'!$D26:D27)-E94</f>
        <v>4.2380000000000001E-2</v>
      </c>
      <c r="F365" s="274">
        <f>AVERAGE('Vedlegg 1 - Rentekurve'!$D26:D27)-F94</f>
        <v>4.2380000000000001E-2</v>
      </c>
      <c r="G365" s="33"/>
      <c r="H365" s="33"/>
      <c r="I365" s="37"/>
    </row>
    <row r="366" spans="1:9" ht="12.75" customHeight="1">
      <c r="A366" s="32"/>
      <c r="B366" s="33"/>
      <c r="C366" s="35">
        <v>19</v>
      </c>
      <c r="D366" s="274">
        <f>AVERAGE('Vedlegg 1 - Rentekurve'!$D27:D28)-D95</f>
        <v>4.2145000000000002E-2</v>
      </c>
      <c r="E366" s="274">
        <f>AVERAGE('Vedlegg 1 - Rentekurve'!$D27:D28)-E95</f>
        <v>4.2145000000000002E-2</v>
      </c>
      <c r="F366" s="274">
        <f>AVERAGE('Vedlegg 1 - Rentekurve'!$D27:D28)-F95</f>
        <v>4.2145000000000002E-2</v>
      </c>
      <c r="G366" s="33"/>
      <c r="H366" s="33"/>
      <c r="I366" s="37"/>
    </row>
    <row r="367" spans="1:9" ht="12.75" customHeight="1">
      <c r="A367" s="32"/>
      <c r="B367" s="33"/>
      <c r="C367" s="35">
        <v>20</v>
      </c>
      <c r="D367" s="274">
        <f>AVERAGE('Vedlegg 1 - Rentekurve'!$D28:D29)-D96</f>
        <v>4.1910000000000003E-2</v>
      </c>
      <c r="E367" s="274">
        <f>AVERAGE('Vedlegg 1 - Rentekurve'!$D28:D29)-E96</f>
        <v>4.1910000000000003E-2</v>
      </c>
      <c r="F367" s="274">
        <f>AVERAGE('Vedlegg 1 - Rentekurve'!$D28:D29)-F96</f>
        <v>4.1910000000000003E-2</v>
      </c>
      <c r="G367" s="33"/>
      <c r="H367" s="33"/>
      <c r="I367" s="37"/>
    </row>
    <row r="368" spans="1:9" ht="12.75" customHeight="1">
      <c r="A368" s="32"/>
      <c r="B368" s="33"/>
      <c r="C368" s="35">
        <v>21</v>
      </c>
      <c r="D368" s="274">
        <f>AVERAGE('Vedlegg 1 - Rentekurve'!$D29:D30)-D97</f>
        <v>4.1675000000000004E-2</v>
      </c>
      <c r="E368" s="274">
        <f>AVERAGE('Vedlegg 1 - Rentekurve'!$D29:D30)-E97</f>
        <v>4.1675000000000004E-2</v>
      </c>
      <c r="F368" s="274">
        <f>AVERAGE('Vedlegg 1 - Rentekurve'!$D29:D30)-F97</f>
        <v>4.1675000000000004E-2</v>
      </c>
      <c r="G368" s="33"/>
      <c r="H368" s="33"/>
      <c r="I368" s="37"/>
    </row>
    <row r="369" spans="1:9" ht="12.75" customHeight="1">
      <c r="A369" s="32"/>
      <c r="B369" s="33"/>
      <c r="C369" s="35">
        <v>22</v>
      </c>
      <c r="D369" s="274">
        <f>AVERAGE('Vedlegg 1 - Rentekurve'!$D30:D31)-D98</f>
        <v>4.1450000000000001E-2</v>
      </c>
      <c r="E369" s="274">
        <f>AVERAGE('Vedlegg 1 - Rentekurve'!$D30:D31)-E98</f>
        <v>4.1450000000000001E-2</v>
      </c>
      <c r="F369" s="274">
        <f>AVERAGE('Vedlegg 1 - Rentekurve'!$D30:D31)-F98</f>
        <v>4.1450000000000001E-2</v>
      </c>
      <c r="G369" s="33"/>
      <c r="H369" s="33"/>
      <c r="I369" s="37"/>
    </row>
    <row r="370" spans="1:9" ht="12.75" customHeight="1">
      <c r="A370" s="32"/>
      <c r="B370" s="33"/>
      <c r="C370" s="35">
        <v>23</v>
      </c>
      <c r="D370" s="274">
        <f>AVERAGE('Vedlegg 1 - Rentekurve'!$D31:D32)-D99</f>
        <v>4.1230000000000003E-2</v>
      </c>
      <c r="E370" s="274">
        <f>AVERAGE('Vedlegg 1 - Rentekurve'!$D31:D32)-E99</f>
        <v>4.1230000000000003E-2</v>
      </c>
      <c r="F370" s="274">
        <f>AVERAGE('Vedlegg 1 - Rentekurve'!$D31:D32)-F99</f>
        <v>4.1230000000000003E-2</v>
      </c>
      <c r="G370" s="33"/>
      <c r="H370" s="33"/>
      <c r="I370" s="37"/>
    </row>
    <row r="371" spans="1:9" ht="12.75" customHeight="1">
      <c r="A371" s="32"/>
      <c r="B371" s="33"/>
      <c r="C371" s="35">
        <v>24</v>
      </c>
      <c r="D371" s="274">
        <f>AVERAGE('Vedlegg 1 - Rentekurve'!$D32:D33)-D100</f>
        <v>4.1014999999999996E-2</v>
      </c>
      <c r="E371" s="274">
        <f>AVERAGE('Vedlegg 1 - Rentekurve'!$D32:D33)-E100</f>
        <v>4.1014999999999996E-2</v>
      </c>
      <c r="F371" s="274">
        <f>AVERAGE('Vedlegg 1 - Rentekurve'!$D32:D33)-F100</f>
        <v>4.1014999999999996E-2</v>
      </c>
      <c r="G371" s="33"/>
      <c r="H371" s="33"/>
      <c r="I371" s="37"/>
    </row>
    <row r="372" spans="1:9" ht="12.75" customHeight="1">
      <c r="A372" s="32"/>
      <c r="B372" s="33"/>
      <c r="C372" s="35">
        <v>25</v>
      </c>
      <c r="D372" s="274">
        <f>AVERAGE('Vedlegg 1 - Rentekurve'!$D33:D34)-D101</f>
        <v>4.0809999999999999E-2</v>
      </c>
      <c r="E372" s="274">
        <f>AVERAGE('Vedlegg 1 - Rentekurve'!$D33:D34)-E101</f>
        <v>4.0809999999999999E-2</v>
      </c>
      <c r="F372" s="274">
        <f>AVERAGE('Vedlegg 1 - Rentekurve'!$D33:D34)-F101</f>
        <v>4.0809999999999999E-2</v>
      </c>
      <c r="G372" s="33"/>
      <c r="H372" s="33"/>
      <c r="I372" s="37"/>
    </row>
    <row r="373" spans="1:9" ht="12.75" customHeight="1">
      <c r="A373" s="32"/>
      <c r="B373" s="33"/>
      <c r="C373" s="35">
        <v>26</v>
      </c>
      <c r="D373" s="274">
        <f>AVERAGE('Vedlegg 1 - Rentekurve'!$D34:D35)-D102</f>
        <v>4.061E-2</v>
      </c>
      <c r="E373" s="274">
        <f>AVERAGE('Vedlegg 1 - Rentekurve'!$D34:D35)-E102</f>
        <v>4.061E-2</v>
      </c>
      <c r="F373" s="274">
        <f>AVERAGE('Vedlegg 1 - Rentekurve'!$D34:D35)-F102</f>
        <v>4.061E-2</v>
      </c>
      <c r="G373" s="33"/>
      <c r="H373" s="33"/>
      <c r="I373" s="37"/>
    </row>
    <row r="374" spans="1:9" ht="12.75" customHeight="1">
      <c r="A374" s="32"/>
      <c r="B374" s="33"/>
      <c r="C374" s="35">
        <v>27</v>
      </c>
      <c r="D374" s="274">
        <f>AVERAGE('Vedlegg 1 - Rentekurve'!$D35:D36)-D103</f>
        <v>4.0410000000000001E-2</v>
      </c>
      <c r="E374" s="274">
        <f>AVERAGE('Vedlegg 1 - Rentekurve'!$D35:D36)-E103</f>
        <v>4.0410000000000001E-2</v>
      </c>
      <c r="F374" s="274">
        <f>AVERAGE('Vedlegg 1 - Rentekurve'!$D35:D36)-F103</f>
        <v>4.0410000000000001E-2</v>
      </c>
      <c r="G374" s="33"/>
      <c r="H374" s="33"/>
      <c r="I374" s="37"/>
    </row>
    <row r="375" spans="1:9" ht="12.75" customHeight="1">
      <c r="A375" s="32"/>
      <c r="B375" s="33"/>
      <c r="C375" s="35">
        <v>28</v>
      </c>
      <c r="D375" s="274">
        <f>AVERAGE('Vedlegg 1 - Rentekurve'!$D36:D37)-D104</f>
        <v>4.0219999999999999E-2</v>
      </c>
      <c r="E375" s="274">
        <f>AVERAGE('Vedlegg 1 - Rentekurve'!$D36:D37)-E104</f>
        <v>4.0219999999999999E-2</v>
      </c>
      <c r="F375" s="274">
        <f>AVERAGE('Vedlegg 1 - Rentekurve'!$D36:D37)-F104</f>
        <v>4.0219999999999999E-2</v>
      </c>
      <c r="G375" s="33"/>
      <c r="H375" s="33"/>
      <c r="I375" s="37"/>
    </row>
    <row r="376" spans="1:9" ht="12.75" customHeight="1">
      <c r="A376" s="32"/>
      <c r="B376" s="33"/>
      <c r="C376" s="35">
        <v>29</v>
      </c>
      <c r="D376" s="274">
        <f>AVERAGE('Vedlegg 1 - Rentekurve'!$D37:D38)-D105</f>
        <v>4.0039999999999999E-2</v>
      </c>
      <c r="E376" s="274">
        <f>AVERAGE('Vedlegg 1 - Rentekurve'!$D37:D38)-E105</f>
        <v>4.0039999999999999E-2</v>
      </c>
      <c r="F376" s="274">
        <f>AVERAGE('Vedlegg 1 - Rentekurve'!$D37:D38)-F105</f>
        <v>4.0039999999999999E-2</v>
      </c>
      <c r="G376" s="33"/>
      <c r="H376" s="33"/>
      <c r="I376" s="37"/>
    </row>
    <row r="377" spans="1:9" ht="12.75" customHeight="1">
      <c r="A377" s="32"/>
      <c r="B377" s="33"/>
      <c r="C377" s="35">
        <v>30</v>
      </c>
      <c r="D377" s="274">
        <f>AVERAGE('Vedlegg 1 - Rentekurve'!$D38:D39)-D106</f>
        <v>3.986E-2</v>
      </c>
      <c r="E377" s="274">
        <f>AVERAGE('Vedlegg 1 - Rentekurve'!$D38:D39)-E106</f>
        <v>3.986E-2</v>
      </c>
      <c r="F377" s="274">
        <f>AVERAGE('Vedlegg 1 - Rentekurve'!$D38:D39)-F106</f>
        <v>3.986E-2</v>
      </c>
      <c r="G377" s="33"/>
      <c r="H377" s="33"/>
      <c r="I377" s="37"/>
    </row>
    <row r="378" spans="1:9" ht="12.75" customHeight="1">
      <c r="A378" s="32"/>
      <c r="B378" s="33"/>
      <c r="C378" s="35">
        <v>31</v>
      </c>
      <c r="D378" s="274">
        <f>AVERAGE('Vedlegg 1 - Rentekurve'!$D39:D40)-D107</f>
        <v>3.9690000000000003E-2</v>
      </c>
      <c r="E378" s="274">
        <f>AVERAGE('Vedlegg 1 - Rentekurve'!$D39:D40)-E107</f>
        <v>3.9690000000000003E-2</v>
      </c>
      <c r="F378" s="274">
        <f>AVERAGE('Vedlegg 1 - Rentekurve'!$D39:D40)-F107</f>
        <v>3.9690000000000003E-2</v>
      </c>
      <c r="G378" s="33"/>
      <c r="H378" s="33"/>
      <c r="I378" s="37"/>
    </row>
    <row r="379" spans="1:9" ht="12.75" customHeight="1">
      <c r="A379" s="32"/>
      <c r="B379" s="33"/>
      <c r="C379" s="35">
        <v>32</v>
      </c>
      <c r="D379" s="274">
        <f>AVERAGE('Vedlegg 1 - Rentekurve'!$D40:D41)-D108</f>
        <v>3.9529999999999996E-2</v>
      </c>
      <c r="E379" s="274">
        <f>AVERAGE('Vedlegg 1 - Rentekurve'!$D40:D41)-E108</f>
        <v>3.9529999999999996E-2</v>
      </c>
      <c r="F379" s="274">
        <f>AVERAGE('Vedlegg 1 - Rentekurve'!$D40:D41)-F108</f>
        <v>3.9529999999999996E-2</v>
      </c>
      <c r="G379" s="33"/>
      <c r="H379" s="33"/>
      <c r="I379" s="37"/>
    </row>
    <row r="380" spans="1:9" ht="12.75" customHeight="1">
      <c r="A380" s="32"/>
      <c r="B380" s="33"/>
      <c r="C380" s="35">
        <v>33</v>
      </c>
      <c r="D380" s="274">
        <f>AVERAGE('Vedlegg 1 - Rentekurve'!$D41:D42)-D109</f>
        <v>3.9370000000000002E-2</v>
      </c>
      <c r="E380" s="274">
        <f>AVERAGE('Vedlegg 1 - Rentekurve'!$D41:D42)-E109</f>
        <v>3.9370000000000002E-2</v>
      </c>
      <c r="F380" s="274">
        <f>AVERAGE('Vedlegg 1 - Rentekurve'!$D41:D42)-F109</f>
        <v>3.9370000000000002E-2</v>
      </c>
      <c r="G380" s="33"/>
      <c r="H380" s="33"/>
      <c r="I380" s="37"/>
    </row>
    <row r="381" spans="1:9" ht="12.75" customHeight="1">
      <c r="A381" s="32"/>
      <c r="B381" s="33"/>
      <c r="C381" s="35">
        <v>34</v>
      </c>
      <c r="D381" s="274">
        <f>AVERAGE('Vedlegg 1 - Rentekurve'!$D42:D43)-D110</f>
        <v>3.9215E-2</v>
      </c>
      <c r="E381" s="274">
        <f>AVERAGE('Vedlegg 1 - Rentekurve'!$D42:D43)-E110</f>
        <v>3.9215E-2</v>
      </c>
      <c r="F381" s="274">
        <f>AVERAGE('Vedlegg 1 - Rentekurve'!$D42:D43)-F110</f>
        <v>3.9215E-2</v>
      </c>
      <c r="G381" s="33"/>
      <c r="H381" s="33"/>
      <c r="I381" s="37"/>
    </row>
    <row r="382" spans="1:9" ht="12.75" customHeight="1">
      <c r="A382" s="32"/>
      <c r="B382" s="33"/>
      <c r="C382" s="35">
        <v>35</v>
      </c>
      <c r="D382" s="274">
        <f>AVERAGE('Vedlegg 1 - Rentekurve'!$D43:D44)-D111</f>
        <v>3.9070000000000001E-2</v>
      </c>
      <c r="E382" s="274">
        <f>AVERAGE('Vedlegg 1 - Rentekurve'!$D43:D44)-E111</f>
        <v>3.9070000000000001E-2</v>
      </c>
      <c r="F382" s="274">
        <f>AVERAGE('Vedlegg 1 - Rentekurve'!$D43:D44)-F111</f>
        <v>3.9070000000000001E-2</v>
      </c>
      <c r="G382" s="33"/>
      <c r="H382" s="33"/>
      <c r="I382" s="37"/>
    </row>
    <row r="383" spans="1:9" ht="12.75" customHeight="1">
      <c r="A383" s="32"/>
      <c r="B383" s="33"/>
      <c r="C383" s="35">
        <v>36</v>
      </c>
      <c r="D383" s="274">
        <f>AVERAGE('Vedlegg 1 - Rentekurve'!$D44:D45)-D112</f>
        <v>3.8929999999999999E-2</v>
      </c>
      <c r="E383" s="274">
        <f>AVERAGE('Vedlegg 1 - Rentekurve'!$D44:D45)-E112</f>
        <v>3.8929999999999999E-2</v>
      </c>
      <c r="F383" s="274">
        <f>AVERAGE('Vedlegg 1 - Rentekurve'!$D44:D45)-F112</f>
        <v>3.8929999999999999E-2</v>
      </c>
      <c r="G383" s="33"/>
      <c r="H383" s="33"/>
      <c r="I383" s="37"/>
    </row>
    <row r="384" spans="1:9" ht="12.75" customHeight="1">
      <c r="A384" s="32"/>
      <c r="B384" s="33"/>
      <c r="C384" s="35">
        <v>37</v>
      </c>
      <c r="D384" s="274">
        <f>AVERAGE('Vedlegg 1 - Rentekurve'!$D45:D46)-D113</f>
        <v>3.8789999999999998E-2</v>
      </c>
      <c r="E384" s="274">
        <f>AVERAGE('Vedlegg 1 - Rentekurve'!$D45:D46)-E113</f>
        <v>3.8789999999999998E-2</v>
      </c>
      <c r="F384" s="274">
        <f>AVERAGE('Vedlegg 1 - Rentekurve'!$D45:D46)-F113</f>
        <v>3.8789999999999998E-2</v>
      </c>
      <c r="G384" s="33"/>
      <c r="H384" s="33"/>
      <c r="I384" s="37"/>
    </row>
    <row r="385" spans="1:9" ht="12.75" customHeight="1">
      <c r="A385" s="32"/>
      <c r="B385" s="33"/>
      <c r="C385" s="35">
        <v>38</v>
      </c>
      <c r="D385" s="274">
        <f>AVERAGE('Vedlegg 1 - Rentekurve'!$D46:D47)-D114</f>
        <v>3.866E-2</v>
      </c>
      <c r="E385" s="274">
        <f>AVERAGE('Vedlegg 1 - Rentekurve'!$D46:D47)-E114</f>
        <v>3.866E-2</v>
      </c>
      <c r="F385" s="274">
        <f>AVERAGE('Vedlegg 1 - Rentekurve'!$D46:D47)-F114</f>
        <v>3.866E-2</v>
      </c>
      <c r="G385" s="33"/>
      <c r="H385" s="33"/>
      <c r="I385" s="37"/>
    </row>
    <row r="386" spans="1:9" ht="12.75" customHeight="1">
      <c r="A386" s="32"/>
      <c r="B386" s="33"/>
      <c r="C386" s="35">
        <v>39</v>
      </c>
      <c r="D386" s="274">
        <f>AVERAGE('Vedlegg 1 - Rentekurve'!$D47:D48)-D115</f>
        <v>3.8535E-2</v>
      </c>
      <c r="E386" s="274">
        <f>AVERAGE('Vedlegg 1 - Rentekurve'!$D47:D48)-E115</f>
        <v>3.8535E-2</v>
      </c>
      <c r="F386" s="274">
        <f>AVERAGE('Vedlegg 1 - Rentekurve'!$D47:D48)-F115</f>
        <v>3.8535E-2</v>
      </c>
      <c r="G386" s="33"/>
      <c r="H386" s="33"/>
      <c r="I386" s="37"/>
    </row>
    <row r="387" spans="1:9" ht="12.75" customHeight="1">
      <c r="A387" s="32"/>
      <c r="B387" s="33"/>
      <c r="C387" s="35">
        <v>40</v>
      </c>
      <c r="D387" s="274">
        <f>AVERAGE('Vedlegg 1 - Rentekurve'!$D48:D49)-D116</f>
        <v>3.841E-2</v>
      </c>
      <c r="E387" s="274">
        <f>AVERAGE('Vedlegg 1 - Rentekurve'!$D48:D49)-E116</f>
        <v>3.841E-2</v>
      </c>
      <c r="F387" s="274">
        <f>AVERAGE('Vedlegg 1 - Rentekurve'!$D48:D49)-F116</f>
        <v>3.841E-2</v>
      </c>
      <c r="G387" s="33"/>
      <c r="H387" s="33"/>
      <c r="I387" s="37"/>
    </row>
    <row r="388" spans="1:9" ht="12.75" customHeight="1">
      <c r="A388" s="32"/>
      <c r="B388" s="33"/>
      <c r="C388" s="35">
        <v>41</v>
      </c>
      <c r="D388" s="274">
        <f>AVERAGE('Vedlegg 1 - Rentekurve'!$D49:D50)-D117</f>
        <v>3.8295000000000003E-2</v>
      </c>
      <c r="E388" s="274">
        <f>AVERAGE('Vedlegg 1 - Rentekurve'!$D49:D50)-E117</f>
        <v>3.8295000000000003E-2</v>
      </c>
      <c r="F388" s="274">
        <f>AVERAGE('Vedlegg 1 - Rentekurve'!$D49:D50)-F117</f>
        <v>3.8295000000000003E-2</v>
      </c>
      <c r="G388" s="33"/>
      <c r="H388" s="33"/>
      <c r="I388" s="37"/>
    </row>
    <row r="389" spans="1:9" ht="12.75" customHeight="1">
      <c r="A389" s="32"/>
      <c r="B389" s="33"/>
      <c r="C389" s="35">
        <v>42</v>
      </c>
      <c r="D389" s="274">
        <f>AVERAGE('Vedlegg 1 - Rentekurve'!$D50:D51)-D118</f>
        <v>3.8184999999999997E-2</v>
      </c>
      <c r="E389" s="274">
        <f>AVERAGE('Vedlegg 1 - Rentekurve'!$D50:D51)-E118</f>
        <v>3.8184999999999997E-2</v>
      </c>
      <c r="F389" s="274">
        <f>AVERAGE('Vedlegg 1 - Rentekurve'!$D50:D51)-F118</f>
        <v>3.8184999999999997E-2</v>
      </c>
      <c r="G389" s="33"/>
      <c r="H389" s="33"/>
      <c r="I389" s="37"/>
    </row>
    <row r="390" spans="1:9" ht="12.75" customHeight="1">
      <c r="A390" s="32"/>
      <c r="B390" s="33"/>
      <c r="C390" s="35">
        <v>43</v>
      </c>
      <c r="D390" s="274">
        <f>AVERAGE('Vedlegg 1 - Rentekurve'!$D51:D52)-D119</f>
        <v>3.8074999999999998E-2</v>
      </c>
      <c r="E390" s="274">
        <f>AVERAGE('Vedlegg 1 - Rentekurve'!$D51:D52)-E119</f>
        <v>3.8074999999999998E-2</v>
      </c>
      <c r="F390" s="274">
        <f>AVERAGE('Vedlegg 1 - Rentekurve'!$D51:D52)-F119</f>
        <v>3.8074999999999998E-2</v>
      </c>
      <c r="G390" s="33"/>
      <c r="H390" s="33"/>
      <c r="I390" s="37"/>
    </row>
    <row r="391" spans="1:9" ht="12.75" customHeight="1">
      <c r="A391" s="32"/>
      <c r="B391" s="33"/>
      <c r="C391" s="35">
        <v>44</v>
      </c>
      <c r="D391" s="274">
        <f>AVERAGE('Vedlegg 1 - Rentekurve'!$D52:D53)-D120</f>
        <v>3.7970000000000004E-2</v>
      </c>
      <c r="E391" s="274">
        <f>AVERAGE('Vedlegg 1 - Rentekurve'!$D52:D53)-E120</f>
        <v>3.7970000000000004E-2</v>
      </c>
      <c r="F391" s="274">
        <f>AVERAGE('Vedlegg 1 - Rentekurve'!$D52:D53)-F120</f>
        <v>3.7970000000000004E-2</v>
      </c>
      <c r="G391" s="33"/>
      <c r="H391" s="33"/>
      <c r="I391" s="37"/>
    </row>
    <row r="392" spans="1:9" ht="12.75" customHeight="1">
      <c r="A392" s="32"/>
      <c r="B392" s="33"/>
      <c r="C392" s="35">
        <v>45</v>
      </c>
      <c r="D392" s="274">
        <f>AVERAGE('Vedlegg 1 - Rentekurve'!$D53:D54)-D121</f>
        <v>3.7870000000000001E-2</v>
      </c>
      <c r="E392" s="274">
        <f>AVERAGE('Vedlegg 1 - Rentekurve'!$D53:D54)-E121</f>
        <v>3.7870000000000001E-2</v>
      </c>
      <c r="F392" s="274">
        <f>AVERAGE('Vedlegg 1 - Rentekurve'!$D53:D54)-F121</f>
        <v>3.7870000000000001E-2</v>
      </c>
      <c r="G392" s="33"/>
      <c r="H392" s="33"/>
      <c r="I392" s="37"/>
    </row>
    <row r="393" spans="1:9" ht="12.75" customHeight="1">
      <c r="A393" s="32"/>
      <c r="B393" s="33"/>
      <c r="C393" s="35">
        <v>46</v>
      </c>
      <c r="D393" s="274">
        <f>AVERAGE('Vedlegg 1 - Rentekurve'!$D54:D55)-D122</f>
        <v>3.7769999999999998E-2</v>
      </c>
      <c r="E393" s="274">
        <f>AVERAGE('Vedlegg 1 - Rentekurve'!$D54:D55)-E122</f>
        <v>3.7769999999999998E-2</v>
      </c>
      <c r="F393" s="274">
        <f>AVERAGE('Vedlegg 1 - Rentekurve'!$D54:D55)-F122</f>
        <v>3.7769999999999998E-2</v>
      </c>
      <c r="G393" s="33"/>
      <c r="H393" s="33"/>
      <c r="I393" s="37"/>
    </row>
    <row r="394" spans="1:9" ht="12.75" customHeight="1">
      <c r="A394" s="32"/>
      <c r="B394" s="33"/>
      <c r="C394" s="35">
        <v>47</v>
      </c>
      <c r="D394" s="274">
        <f>AVERAGE('Vedlegg 1 - Rentekurve'!$D55:D56)-D123</f>
        <v>3.7675E-2</v>
      </c>
      <c r="E394" s="274">
        <f>AVERAGE('Vedlegg 1 - Rentekurve'!$D55:D56)-E123</f>
        <v>3.7675E-2</v>
      </c>
      <c r="F394" s="274">
        <f>AVERAGE('Vedlegg 1 - Rentekurve'!$D55:D56)-F123</f>
        <v>3.7675E-2</v>
      </c>
      <c r="G394" s="33"/>
      <c r="H394" s="33"/>
      <c r="I394" s="37"/>
    </row>
    <row r="395" spans="1:9" ht="12.75" customHeight="1">
      <c r="A395" s="32"/>
      <c r="B395" s="33"/>
      <c r="C395" s="35">
        <v>48</v>
      </c>
      <c r="D395" s="274">
        <f>AVERAGE('Vedlegg 1 - Rentekurve'!$D56:D57)-D124</f>
        <v>3.7584999999999993E-2</v>
      </c>
      <c r="E395" s="274">
        <f>AVERAGE('Vedlegg 1 - Rentekurve'!$D56:D57)-E124</f>
        <v>3.7584999999999993E-2</v>
      </c>
      <c r="F395" s="274">
        <f>AVERAGE('Vedlegg 1 - Rentekurve'!$D56:D57)-F124</f>
        <v>3.7584999999999993E-2</v>
      </c>
      <c r="G395" s="33"/>
      <c r="H395" s="33"/>
      <c r="I395" s="37"/>
    </row>
    <row r="396" spans="1:9" ht="12.75" customHeight="1">
      <c r="A396" s="32"/>
      <c r="B396" s="33"/>
      <c r="C396" s="35">
        <v>49</v>
      </c>
      <c r="D396" s="274">
        <f>AVERAGE('Vedlegg 1 - Rentekurve'!$D57:D58)-D125</f>
        <v>3.7495000000000001E-2</v>
      </c>
      <c r="E396" s="274">
        <f>AVERAGE('Vedlegg 1 - Rentekurve'!$D57:D58)-E125</f>
        <v>3.7495000000000001E-2</v>
      </c>
      <c r="F396" s="274">
        <f>AVERAGE('Vedlegg 1 - Rentekurve'!$D57:D58)-F125</f>
        <v>3.7495000000000001E-2</v>
      </c>
      <c r="G396" s="33"/>
      <c r="H396" s="33"/>
      <c r="I396" s="37"/>
    </row>
    <row r="397" spans="1:9" ht="12.75" customHeight="1">
      <c r="A397" s="32"/>
      <c r="B397" s="33"/>
      <c r="C397" s="35">
        <v>50</v>
      </c>
      <c r="D397" s="274">
        <f>AVERAGE('Vedlegg 1 - Rentekurve'!$D58:D59)-D126</f>
        <v>3.7409999999999999E-2</v>
      </c>
      <c r="E397" s="274">
        <f>AVERAGE('Vedlegg 1 - Rentekurve'!$D58:D59)-E126</f>
        <v>3.7409999999999999E-2</v>
      </c>
      <c r="F397" s="274">
        <f>AVERAGE('Vedlegg 1 - Rentekurve'!$D58:D59)-F126</f>
        <v>3.7409999999999999E-2</v>
      </c>
      <c r="G397" s="33"/>
      <c r="H397" s="33"/>
      <c r="I397" s="37"/>
    </row>
    <row r="398" spans="1:9" ht="12.75" customHeight="1">
      <c r="A398" s="32"/>
      <c r="B398" s="33"/>
      <c r="C398" s="35">
        <v>51</v>
      </c>
      <c r="D398" s="274">
        <f>AVERAGE('Vedlegg 1 - Rentekurve'!$D59:D60)-D127</f>
        <v>3.7330000000000002E-2</v>
      </c>
      <c r="E398" s="274">
        <f>AVERAGE('Vedlegg 1 - Rentekurve'!$D59:D60)-E127</f>
        <v>3.7330000000000002E-2</v>
      </c>
      <c r="F398" s="274">
        <f>AVERAGE('Vedlegg 1 - Rentekurve'!$D59:D60)-F127</f>
        <v>3.7330000000000002E-2</v>
      </c>
      <c r="G398" s="33"/>
      <c r="H398" s="33"/>
      <c r="I398" s="37"/>
    </row>
    <row r="399" spans="1:9" ht="12.75" customHeight="1">
      <c r="A399" s="32"/>
      <c r="B399" s="33"/>
      <c r="C399" s="35">
        <v>52</v>
      </c>
      <c r="D399" s="274">
        <f>AVERAGE('Vedlegg 1 - Rentekurve'!$D60:D61)-D128</f>
        <v>3.7249999999999998E-2</v>
      </c>
      <c r="E399" s="274">
        <f>AVERAGE('Vedlegg 1 - Rentekurve'!$D60:D61)-E128</f>
        <v>3.7249999999999998E-2</v>
      </c>
      <c r="F399" s="274">
        <f>AVERAGE('Vedlegg 1 - Rentekurve'!$D60:D61)-F128</f>
        <v>3.7249999999999998E-2</v>
      </c>
      <c r="G399" s="33"/>
      <c r="H399" s="33"/>
      <c r="I399" s="37"/>
    </row>
    <row r="400" spans="1:9" ht="12.75" customHeight="1">
      <c r="A400" s="32"/>
      <c r="B400" s="33"/>
      <c r="C400" s="35">
        <v>53</v>
      </c>
      <c r="D400" s="274">
        <f>AVERAGE('Vedlegg 1 - Rentekurve'!$D61:D62)-D129</f>
        <v>3.7170000000000002E-2</v>
      </c>
      <c r="E400" s="274">
        <f>AVERAGE('Vedlegg 1 - Rentekurve'!$D61:D62)-E129</f>
        <v>3.7170000000000002E-2</v>
      </c>
      <c r="F400" s="274">
        <f>AVERAGE('Vedlegg 1 - Rentekurve'!$D61:D62)-F129</f>
        <v>3.7170000000000002E-2</v>
      </c>
      <c r="G400" s="33"/>
      <c r="H400" s="33"/>
      <c r="I400" s="37"/>
    </row>
    <row r="401" spans="1:9" ht="12.75" customHeight="1">
      <c r="A401" s="32"/>
      <c r="B401" s="33"/>
      <c r="C401" s="35">
        <v>54</v>
      </c>
      <c r="D401" s="274">
        <f>AVERAGE('Vedlegg 1 - Rentekurve'!$D62:D63)-D130</f>
        <v>3.7095000000000003E-2</v>
      </c>
      <c r="E401" s="274">
        <f>AVERAGE('Vedlegg 1 - Rentekurve'!$D62:D63)-E130</f>
        <v>3.7095000000000003E-2</v>
      </c>
      <c r="F401" s="274">
        <f>AVERAGE('Vedlegg 1 - Rentekurve'!$D62:D63)-F130</f>
        <v>3.7095000000000003E-2</v>
      </c>
      <c r="G401" s="33"/>
      <c r="H401" s="33"/>
      <c r="I401" s="37"/>
    </row>
    <row r="402" spans="1:9" ht="12.75" customHeight="1">
      <c r="A402" s="32"/>
      <c r="B402" s="33"/>
      <c r="C402" s="35">
        <v>55</v>
      </c>
      <c r="D402" s="274">
        <f>AVERAGE('Vedlegg 1 - Rentekurve'!$D63:D64)-D131</f>
        <v>3.7025000000000002E-2</v>
      </c>
      <c r="E402" s="274">
        <f>AVERAGE('Vedlegg 1 - Rentekurve'!$D63:D64)-E131</f>
        <v>3.7025000000000002E-2</v>
      </c>
      <c r="F402" s="274">
        <f>AVERAGE('Vedlegg 1 - Rentekurve'!$D63:D64)-F131</f>
        <v>3.7025000000000002E-2</v>
      </c>
      <c r="G402" s="33"/>
      <c r="H402" s="33"/>
      <c r="I402" s="37"/>
    </row>
    <row r="403" spans="1:9" ht="12.75" customHeight="1">
      <c r="A403" s="32"/>
      <c r="B403" s="33"/>
      <c r="C403" s="35">
        <v>56</v>
      </c>
      <c r="D403" s="274">
        <f>AVERAGE('Vedlegg 1 - Rentekurve'!$D64:D65)-D132</f>
        <v>3.6955000000000002E-2</v>
      </c>
      <c r="E403" s="274">
        <f>AVERAGE('Vedlegg 1 - Rentekurve'!$D64:D65)-E132</f>
        <v>3.6955000000000002E-2</v>
      </c>
      <c r="F403" s="274">
        <f>AVERAGE('Vedlegg 1 - Rentekurve'!$D64:D65)-F132</f>
        <v>3.6955000000000002E-2</v>
      </c>
      <c r="G403" s="33"/>
      <c r="H403" s="33"/>
      <c r="I403" s="37"/>
    </row>
    <row r="404" spans="1:9" ht="12.75" customHeight="1">
      <c r="A404" s="32"/>
      <c r="B404" s="33"/>
      <c r="C404" s="35">
        <v>57</v>
      </c>
      <c r="D404" s="274">
        <f>AVERAGE('Vedlegg 1 - Rentekurve'!$D65:D66)-D133</f>
        <v>3.6885000000000001E-2</v>
      </c>
      <c r="E404" s="274">
        <f>AVERAGE('Vedlegg 1 - Rentekurve'!$D65:D66)-E133</f>
        <v>3.6885000000000001E-2</v>
      </c>
      <c r="F404" s="274">
        <f>AVERAGE('Vedlegg 1 - Rentekurve'!$D65:D66)-F133</f>
        <v>3.6885000000000001E-2</v>
      </c>
      <c r="G404" s="33"/>
      <c r="H404" s="33"/>
      <c r="I404" s="37"/>
    </row>
    <row r="405" spans="1:9" ht="12.75" customHeight="1">
      <c r="A405" s="32"/>
      <c r="B405" s="33"/>
      <c r="C405" s="35">
        <v>58</v>
      </c>
      <c r="D405" s="274">
        <f>AVERAGE('Vedlegg 1 - Rentekurve'!$D66:D67)-D134</f>
        <v>3.6820000000000006E-2</v>
      </c>
      <c r="E405" s="274">
        <f>AVERAGE('Vedlegg 1 - Rentekurve'!$D66:D67)-E134</f>
        <v>3.6820000000000006E-2</v>
      </c>
      <c r="F405" s="274">
        <f>AVERAGE('Vedlegg 1 - Rentekurve'!$D66:D67)-F134</f>
        <v>3.6820000000000006E-2</v>
      </c>
      <c r="G405" s="33"/>
      <c r="H405" s="33"/>
      <c r="I405" s="37"/>
    </row>
    <row r="406" spans="1:9" ht="12.75" customHeight="1">
      <c r="A406" s="32"/>
      <c r="B406" s="33"/>
      <c r="C406" s="35">
        <v>59</v>
      </c>
      <c r="D406" s="274">
        <f>AVERAGE('Vedlegg 1 - Rentekurve'!$D67:D68)-D135</f>
        <v>3.6760000000000001E-2</v>
      </c>
      <c r="E406" s="274">
        <f>AVERAGE('Vedlegg 1 - Rentekurve'!$D67:D68)-E135</f>
        <v>3.6760000000000001E-2</v>
      </c>
      <c r="F406" s="274">
        <f>AVERAGE('Vedlegg 1 - Rentekurve'!$D67:D68)-F135</f>
        <v>3.6760000000000001E-2</v>
      </c>
      <c r="G406" s="33"/>
      <c r="H406" s="33"/>
      <c r="I406" s="37"/>
    </row>
    <row r="407" spans="1:9" ht="12.75" customHeight="1">
      <c r="A407" s="32"/>
      <c r="B407" s="33"/>
      <c r="C407" s="35">
        <v>60</v>
      </c>
      <c r="D407" s="274">
        <f>AVERAGE('Vedlegg 1 - Rentekurve'!$D68:D69)-D136</f>
        <v>3.6699999999999997E-2</v>
      </c>
      <c r="E407" s="274">
        <f>AVERAGE('Vedlegg 1 - Rentekurve'!$D68:D69)-E136</f>
        <v>3.6699999999999997E-2</v>
      </c>
      <c r="F407" s="274">
        <f>AVERAGE('Vedlegg 1 - Rentekurve'!$D68:D69)-F136</f>
        <v>3.6699999999999997E-2</v>
      </c>
      <c r="G407" s="33"/>
      <c r="H407" s="33"/>
      <c r="I407" s="37"/>
    </row>
    <row r="408" spans="1:9" ht="15.9" customHeight="1">
      <c r="A408" s="32"/>
      <c r="B408" s="33"/>
      <c r="C408" s="259"/>
      <c r="D408" s="263"/>
      <c r="E408" s="263"/>
      <c r="F408" s="263"/>
      <c r="G408" s="263"/>
      <c r="H408" s="33"/>
      <c r="I408" s="37"/>
    </row>
    <row r="409" spans="1:9" ht="15.9" customHeight="1">
      <c r="A409" s="32"/>
      <c r="B409" s="30"/>
      <c r="C409" s="30"/>
      <c r="D409" s="28"/>
      <c r="E409" s="33"/>
      <c r="F409" s="263"/>
      <c r="G409" s="263"/>
      <c r="H409" s="33"/>
      <c r="I409" s="37"/>
    </row>
    <row r="410" spans="1:9" ht="15.9" customHeight="1">
      <c r="A410" s="32"/>
      <c r="B410" s="60" t="s">
        <v>612</v>
      </c>
      <c r="C410" s="30" t="s">
        <v>191</v>
      </c>
      <c r="D410" s="33"/>
      <c r="E410" s="33"/>
      <c r="F410" s="263"/>
      <c r="G410" s="263"/>
      <c r="H410" s="33"/>
      <c r="I410" s="37"/>
    </row>
    <row r="411" spans="1:9" ht="15.9" customHeight="1">
      <c r="A411" s="32"/>
      <c r="B411" s="30"/>
      <c r="C411" s="33"/>
      <c r="D411" s="33"/>
      <c r="E411" s="33"/>
      <c r="F411" s="263"/>
      <c r="G411" s="263"/>
      <c r="H411" s="33"/>
      <c r="I411" s="37"/>
    </row>
    <row r="412" spans="1:9" ht="20.149999999999999" customHeight="1">
      <c r="A412" s="32"/>
      <c r="B412" s="347" t="s">
        <v>613</v>
      </c>
      <c r="C412" s="347" t="s">
        <v>98</v>
      </c>
      <c r="D412" s="347" t="s">
        <v>99</v>
      </c>
      <c r="E412" s="33"/>
      <c r="F412" s="246" t="s">
        <v>591</v>
      </c>
      <c r="G412" s="399" t="s">
        <v>614</v>
      </c>
      <c r="H412" s="399" t="s">
        <v>615</v>
      </c>
      <c r="I412" s="37"/>
    </row>
    <row r="413" spans="1:9" ht="12.75" customHeight="1">
      <c r="A413" s="32"/>
      <c r="B413" s="35">
        <v>1</v>
      </c>
      <c r="C413" s="400">
        <v>0.7</v>
      </c>
      <c r="D413" s="400">
        <v>-0.75</v>
      </c>
      <c r="E413" s="33"/>
      <c r="F413" s="35">
        <v>1</v>
      </c>
      <c r="G413" s="274">
        <f>'Vedlegg 1 - Rentekurve'!$D10*C413</f>
        <v>3.3312999999999995E-2</v>
      </c>
      <c r="H413" s="274">
        <f>'Vedlegg 1 - Rentekurve'!$D10*D413</f>
        <v>-3.5692500000000002E-2</v>
      </c>
      <c r="I413" s="37"/>
    </row>
    <row r="414" spans="1:9" ht="12.75" customHeight="1">
      <c r="A414" s="32"/>
      <c r="B414" s="35">
        <v>2</v>
      </c>
      <c r="C414" s="400">
        <v>0.7</v>
      </c>
      <c r="D414" s="400">
        <v>-0.65</v>
      </c>
      <c r="E414" s="33"/>
      <c r="F414" s="35">
        <v>2</v>
      </c>
      <c r="G414" s="274">
        <f>'Vedlegg 1 - Rentekurve'!$D11*C414</f>
        <v>3.2864999999999998E-2</v>
      </c>
      <c r="H414" s="274">
        <f>'Vedlegg 1 - Rentekurve'!$D11*D414</f>
        <v>-3.0517499999999999E-2</v>
      </c>
      <c r="I414" s="37"/>
    </row>
    <row r="415" spans="1:9" ht="12.75" customHeight="1">
      <c r="A415" s="32"/>
      <c r="B415" s="35">
        <v>3</v>
      </c>
      <c r="C415" s="400">
        <v>0.64</v>
      </c>
      <c r="D415" s="400">
        <v>-0.56000000000000005</v>
      </c>
      <c r="E415" s="33"/>
      <c r="F415" s="35">
        <v>3</v>
      </c>
      <c r="G415" s="274">
        <f>'Vedlegg 1 - Rentekurve'!$D12*C415</f>
        <v>2.9433600000000004E-2</v>
      </c>
      <c r="H415" s="274">
        <f>'Vedlegg 1 - Rentekurve'!$D12*D415</f>
        <v>-2.5754400000000004E-2</v>
      </c>
      <c r="I415" s="37"/>
    </row>
    <row r="416" spans="1:9" ht="12.75" customHeight="1">
      <c r="A416" s="32"/>
      <c r="B416" s="35">
        <v>4</v>
      </c>
      <c r="C416" s="400">
        <v>0.59</v>
      </c>
      <c r="D416" s="400">
        <v>-0.5</v>
      </c>
      <c r="E416" s="33"/>
      <c r="F416" s="35">
        <v>4</v>
      </c>
      <c r="G416" s="274">
        <f>'Vedlegg 1 - Rentekurve'!$D13*C416</f>
        <v>2.66267E-2</v>
      </c>
      <c r="H416" s="274">
        <f>'Vedlegg 1 - Rentekurve'!$D13*D416</f>
        <v>-2.2565000000000002E-2</v>
      </c>
      <c r="I416" s="37"/>
    </row>
    <row r="417" spans="1:9" ht="12.75" customHeight="1">
      <c r="A417" s="32"/>
      <c r="B417" s="35">
        <v>5</v>
      </c>
      <c r="C417" s="400">
        <v>0.55000000000000004</v>
      </c>
      <c r="D417" s="400">
        <v>-0.46</v>
      </c>
      <c r="E417" s="33"/>
      <c r="F417" s="35">
        <v>5</v>
      </c>
      <c r="G417" s="274">
        <f>'Vedlegg 1 - Rentekurve'!$D14*C417</f>
        <v>2.45025E-2</v>
      </c>
      <c r="H417" s="274">
        <f>'Vedlegg 1 - Rentekurve'!$D14*D417</f>
        <v>-2.0493000000000001E-2</v>
      </c>
      <c r="I417" s="37"/>
    </row>
    <row r="418" spans="1:9" ht="12.75" customHeight="1">
      <c r="A418" s="32"/>
      <c r="B418" s="35">
        <v>6</v>
      </c>
      <c r="C418" s="400">
        <v>0.52</v>
      </c>
      <c r="D418" s="400">
        <v>-0.42</v>
      </c>
      <c r="E418" s="33"/>
      <c r="F418" s="35">
        <v>6</v>
      </c>
      <c r="G418" s="274">
        <f>'Vedlegg 1 - Rentekurve'!$D15*C418</f>
        <v>2.3004800000000002E-2</v>
      </c>
      <c r="H418" s="274">
        <f>'Vedlegg 1 - Rentekurve'!$D15*D418</f>
        <v>-1.8580800000000001E-2</v>
      </c>
      <c r="I418" s="37"/>
    </row>
    <row r="419" spans="1:9" ht="12.75" customHeight="1">
      <c r="A419" s="32"/>
      <c r="B419" s="35">
        <v>7</v>
      </c>
      <c r="C419" s="400">
        <v>0.49</v>
      </c>
      <c r="D419" s="400">
        <v>-0.39</v>
      </c>
      <c r="E419" s="33"/>
      <c r="F419" s="35">
        <v>7</v>
      </c>
      <c r="G419" s="274">
        <f>'Vedlegg 1 - Rentekurve'!$D16*C419</f>
        <v>2.1604099999999998E-2</v>
      </c>
      <c r="H419" s="274">
        <f>'Vedlegg 1 - Rentekurve'!$D16*D419</f>
        <v>-1.7195099999999998E-2</v>
      </c>
      <c r="I419" s="37"/>
    </row>
    <row r="420" spans="1:9" ht="12.75" customHeight="1">
      <c r="A420" s="32"/>
      <c r="B420" s="35">
        <v>8</v>
      </c>
      <c r="C420" s="400">
        <v>0.47</v>
      </c>
      <c r="D420" s="400">
        <v>-0.36</v>
      </c>
      <c r="E420" s="33"/>
      <c r="F420" s="35">
        <v>8</v>
      </c>
      <c r="G420" s="274">
        <f>'Vedlegg 1 - Rentekurve'!$D17*C420</f>
        <v>2.06847E-2</v>
      </c>
      <c r="H420" s="274">
        <f>'Vedlegg 1 - Rentekurve'!$D17*D420</f>
        <v>-1.5843599999999999E-2</v>
      </c>
      <c r="I420" s="37"/>
    </row>
    <row r="421" spans="1:9" ht="12.75" customHeight="1">
      <c r="A421" s="32"/>
      <c r="B421" s="35">
        <v>9</v>
      </c>
      <c r="C421" s="400">
        <v>0.44</v>
      </c>
      <c r="D421" s="400">
        <v>-0.33</v>
      </c>
      <c r="E421" s="33"/>
      <c r="F421" s="35">
        <v>9</v>
      </c>
      <c r="G421" s="274">
        <f>'Vedlegg 1 - Rentekurve'!$D18*C421</f>
        <v>1.9342399999999999E-2</v>
      </c>
      <c r="H421" s="274">
        <f>'Vedlegg 1 - Rentekurve'!$D18*D421</f>
        <v>-1.45068E-2</v>
      </c>
      <c r="I421" s="37"/>
    </row>
    <row r="422" spans="1:9" ht="12.75" customHeight="1">
      <c r="A422" s="32"/>
      <c r="B422" s="35">
        <v>10</v>
      </c>
      <c r="C422" s="400">
        <v>0.42</v>
      </c>
      <c r="D422" s="400">
        <v>-0.31</v>
      </c>
      <c r="E422" s="33"/>
      <c r="F422" s="35">
        <v>10</v>
      </c>
      <c r="G422" s="274">
        <f>'Vedlegg 1 - Rentekurve'!$D19*C422</f>
        <v>1.84338E-2</v>
      </c>
      <c r="H422" s="274">
        <f>'Vedlegg 1 - Rentekurve'!$D19*D422</f>
        <v>-1.3605899999999999E-2</v>
      </c>
      <c r="I422" s="37"/>
    </row>
    <row r="423" spans="1:9" ht="12.75" customHeight="1">
      <c r="A423" s="32"/>
      <c r="B423" s="35">
        <v>11</v>
      </c>
      <c r="C423" s="400">
        <v>0.39</v>
      </c>
      <c r="D423" s="400">
        <v>-0.3</v>
      </c>
      <c r="E423" s="33"/>
      <c r="F423" s="35">
        <v>11</v>
      </c>
      <c r="G423" s="274">
        <f>'Vedlegg 1 - Rentekurve'!$D20*C423</f>
        <v>1.7070300000000004E-2</v>
      </c>
      <c r="H423" s="274">
        <f>'Vedlegg 1 - Rentekurve'!$D20*D423</f>
        <v>-1.3131E-2</v>
      </c>
      <c r="I423" s="37"/>
    </row>
    <row r="424" spans="1:9" ht="12.75" customHeight="1">
      <c r="A424" s="32"/>
      <c r="B424" s="35">
        <v>12</v>
      </c>
      <c r="C424" s="400">
        <v>0.37</v>
      </c>
      <c r="D424" s="400">
        <v>-0.28999999999999998</v>
      </c>
      <c r="E424" s="33"/>
      <c r="F424" s="35">
        <v>12</v>
      </c>
      <c r="G424" s="274">
        <f>'Vedlegg 1 - Rentekurve'!$D21*C424</f>
        <v>1.6135699999999999E-2</v>
      </c>
      <c r="H424" s="274">
        <f>'Vedlegg 1 - Rentekurve'!$D21*D424</f>
        <v>-1.2646899999999999E-2</v>
      </c>
      <c r="I424" s="37"/>
    </row>
    <row r="425" spans="1:9" ht="12.75" customHeight="1">
      <c r="A425" s="32"/>
      <c r="B425" s="35">
        <v>13</v>
      </c>
      <c r="C425" s="400">
        <v>0.35</v>
      </c>
      <c r="D425" s="400">
        <v>-0.28000000000000003</v>
      </c>
      <c r="E425" s="33"/>
      <c r="F425" s="35">
        <v>13</v>
      </c>
      <c r="G425" s="274">
        <f>'Vedlegg 1 - Rentekurve'!$D22*C425</f>
        <v>1.5193499999999999E-2</v>
      </c>
      <c r="H425" s="274">
        <f>'Vedlegg 1 - Rentekurve'!$D22*D425</f>
        <v>-1.21548E-2</v>
      </c>
      <c r="I425" s="37"/>
    </row>
    <row r="426" spans="1:9" ht="12.75" customHeight="1">
      <c r="A426" s="32"/>
      <c r="B426" s="35">
        <v>14</v>
      </c>
      <c r="C426" s="400">
        <v>0.34</v>
      </c>
      <c r="D426" s="400">
        <v>-0.28000000000000003</v>
      </c>
      <c r="E426" s="33"/>
      <c r="F426" s="35">
        <v>14</v>
      </c>
      <c r="G426" s="274">
        <f>'Vedlegg 1 - Rentekurve'!$D23*C426</f>
        <v>1.4688000000000001E-2</v>
      </c>
      <c r="H426" s="274">
        <f>'Vedlegg 1 - Rentekurve'!$D23*D426</f>
        <v>-1.2096000000000003E-2</v>
      </c>
      <c r="I426" s="37"/>
    </row>
    <row r="427" spans="1:9" ht="12.75" customHeight="1">
      <c r="A427" s="32"/>
      <c r="B427" s="35">
        <v>15</v>
      </c>
      <c r="C427" s="400">
        <v>0.33</v>
      </c>
      <c r="D427" s="400">
        <v>-0.27</v>
      </c>
      <c r="E427" s="33"/>
      <c r="F427" s="35">
        <v>15</v>
      </c>
      <c r="G427" s="274">
        <f>'Vedlegg 1 - Rentekurve'!$D24*C427</f>
        <v>1.4180100000000001E-2</v>
      </c>
      <c r="H427" s="274">
        <f>'Vedlegg 1 - Rentekurve'!$D24*D427</f>
        <v>-1.1601900000000002E-2</v>
      </c>
      <c r="I427" s="37"/>
    </row>
    <row r="428" spans="1:9" ht="12.75" customHeight="1">
      <c r="A428" s="32"/>
      <c r="B428" s="35">
        <v>16</v>
      </c>
      <c r="C428" s="400">
        <v>0.31</v>
      </c>
      <c r="D428" s="400">
        <v>-0.28000000000000003</v>
      </c>
      <c r="E428" s="33"/>
      <c r="F428" s="35">
        <v>16</v>
      </c>
      <c r="G428" s="274">
        <f>'Vedlegg 1 - Rentekurve'!$D25*C428</f>
        <v>1.32494E-2</v>
      </c>
      <c r="H428" s="274">
        <f>'Vedlegg 1 - Rentekurve'!$D25*D428</f>
        <v>-1.1967200000000001E-2</v>
      </c>
      <c r="I428" s="37"/>
    </row>
    <row r="429" spans="1:9" ht="12.75" customHeight="1">
      <c r="A429" s="32"/>
      <c r="B429" s="35">
        <v>17</v>
      </c>
      <c r="C429" s="400">
        <v>0.3</v>
      </c>
      <c r="D429" s="400">
        <v>-0.28000000000000003</v>
      </c>
      <c r="E429" s="33"/>
      <c r="F429" s="35">
        <v>17</v>
      </c>
      <c r="G429" s="274">
        <f>'Vedlegg 1 - Rentekurve'!$D26*C429</f>
        <v>1.2750000000000001E-2</v>
      </c>
      <c r="H429" s="274">
        <f>'Vedlegg 1 - Rentekurve'!$D26*D429</f>
        <v>-1.1900000000000003E-2</v>
      </c>
      <c r="I429" s="37"/>
    </row>
    <row r="430" spans="1:9" ht="12.75" customHeight="1">
      <c r="A430" s="32"/>
      <c r="B430" s="35">
        <v>18</v>
      </c>
      <c r="C430" s="400">
        <v>0.28999999999999998</v>
      </c>
      <c r="D430" s="400">
        <v>-0.28000000000000003</v>
      </c>
      <c r="E430" s="33"/>
      <c r="F430" s="35">
        <v>18</v>
      </c>
      <c r="G430" s="274">
        <f>'Vedlegg 1 - Rentekurve'!$D27*C430</f>
        <v>1.22554E-2</v>
      </c>
      <c r="H430" s="274">
        <f>'Vedlegg 1 - Rentekurve'!$D27*D430</f>
        <v>-1.1832800000000001E-2</v>
      </c>
      <c r="I430" s="37"/>
    </row>
    <row r="431" spans="1:9" ht="12.75" customHeight="1">
      <c r="A431" s="32"/>
      <c r="B431" s="35">
        <v>19</v>
      </c>
      <c r="C431" s="400">
        <v>0.27</v>
      </c>
      <c r="D431" s="400">
        <v>-0.28999999999999998</v>
      </c>
      <c r="E431" s="33"/>
      <c r="F431" s="35">
        <v>19</v>
      </c>
      <c r="G431" s="274">
        <f>'Vedlegg 1 - Rentekurve'!$D28*C431</f>
        <v>1.13481E-2</v>
      </c>
      <c r="H431" s="274">
        <f>'Vedlegg 1 - Rentekurve'!$D28*D431</f>
        <v>-1.2188699999999998E-2</v>
      </c>
      <c r="I431" s="37"/>
    </row>
    <row r="432" spans="1:9" ht="12.75" customHeight="1">
      <c r="A432" s="32"/>
      <c r="B432" s="35">
        <v>20</v>
      </c>
      <c r="C432" s="400">
        <v>0.26</v>
      </c>
      <c r="D432" s="400">
        <v>-0.28999999999999998</v>
      </c>
      <c r="E432" s="33"/>
      <c r="F432" s="35">
        <v>20</v>
      </c>
      <c r="G432" s="274">
        <f>'Vedlegg 1 - Rentekurve'!$D29*C432</f>
        <v>1.0865400000000001E-2</v>
      </c>
      <c r="H432" s="274">
        <f>'Vedlegg 1 - Rentekurve'!$D29*D432</f>
        <v>-1.2119099999999999E-2</v>
      </c>
      <c r="I432" s="37"/>
    </row>
    <row r="433" spans="1:9" ht="12.75" customHeight="1">
      <c r="A433" s="32"/>
      <c r="B433" s="35">
        <v>21</v>
      </c>
      <c r="C433" s="400">
        <v>0.26</v>
      </c>
      <c r="D433" s="400">
        <v>-0.28999999999999998</v>
      </c>
      <c r="E433" s="33"/>
      <c r="F433" s="35">
        <v>21</v>
      </c>
      <c r="G433" s="274">
        <f>'Vedlegg 1 - Rentekurve'!$D30*C433</f>
        <v>1.08056E-2</v>
      </c>
      <c r="H433" s="274">
        <f>'Vedlegg 1 - Rentekurve'!$D30*D433</f>
        <v>-1.20524E-2</v>
      </c>
      <c r="I433" s="37"/>
    </row>
    <row r="434" spans="1:9" ht="12.75" customHeight="1">
      <c r="A434" s="32"/>
      <c r="B434" s="35">
        <v>22</v>
      </c>
      <c r="C434" s="400">
        <v>0.26</v>
      </c>
      <c r="D434" s="400">
        <v>-0.28999999999999998</v>
      </c>
      <c r="E434" s="33"/>
      <c r="F434" s="35">
        <v>22</v>
      </c>
      <c r="G434" s="274">
        <f>'Vedlegg 1 - Rentekurve'!$D31*C434</f>
        <v>1.07484E-2</v>
      </c>
      <c r="H434" s="274">
        <f>'Vedlegg 1 - Rentekurve'!$D31*D434</f>
        <v>-1.19886E-2</v>
      </c>
      <c r="I434" s="37"/>
    </row>
    <row r="435" spans="1:9" ht="12.75" customHeight="1">
      <c r="A435" s="32"/>
      <c r="B435" s="35">
        <v>23</v>
      </c>
      <c r="C435" s="400">
        <v>0.26</v>
      </c>
      <c r="D435" s="400">
        <v>-0.28999999999999998</v>
      </c>
      <c r="E435" s="33"/>
      <c r="F435" s="35">
        <v>23</v>
      </c>
      <c r="G435" s="274">
        <f>'Vedlegg 1 - Rentekurve'!$D32*C435</f>
        <v>1.06912E-2</v>
      </c>
      <c r="H435" s="274">
        <f>'Vedlegg 1 - Rentekurve'!$D32*D435</f>
        <v>-1.1924799999999998E-2</v>
      </c>
      <c r="I435" s="37"/>
    </row>
    <row r="436" spans="1:9" ht="12.75" customHeight="1">
      <c r="A436" s="32"/>
      <c r="B436" s="35">
        <v>24</v>
      </c>
      <c r="C436" s="400">
        <v>0.26</v>
      </c>
      <c r="D436" s="400">
        <v>-0.28000000000000003</v>
      </c>
      <c r="E436" s="33"/>
      <c r="F436" s="35">
        <v>24</v>
      </c>
      <c r="G436" s="274">
        <f>'Vedlegg 1 - Rentekurve'!$D33*C436</f>
        <v>1.0636600000000001E-2</v>
      </c>
      <c r="H436" s="274">
        <f>'Vedlegg 1 - Rentekurve'!$D33*D436</f>
        <v>-1.1454800000000001E-2</v>
      </c>
      <c r="I436" s="37"/>
    </row>
    <row r="437" spans="1:9" ht="12.75" customHeight="1">
      <c r="A437" s="32"/>
      <c r="B437" s="35">
        <v>25</v>
      </c>
      <c r="C437" s="400">
        <v>0.26</v>
      </c>
      <c r="D437" s="400">
        <v>-0.28000000000000003</v>
      </c>
      <c r="E437" s="33"/>
      <c r="F437" s="35">
        <v>25</v>
      </c>
      <c r="G437" s="274">
        <f>'Vedlegg 1 - Rentekurve'!$D34*C437</f>
        <v>1.0584600000000001E-2</v>
      </c>
      <c r="H437" s="274">
        <f>'Vedlegg 1 - Rentekurve'!$D34*D437</f>
        <v>-1.1398800000000002E-2</v>
      </c>
      <c r="I437" s="37"/>
    </row>
    <row r="438" spans="1:9" ht="12.75" customHeight="1">
      <c r="A438" s="32"/>
      <c r="B438" s="35">
        <v>26</v>
      </c>
      <c r="C438" s="400">
        <v>0.25</v>
      </c>
      <c r="D438" s="400">
        <v>-0.28000000000000003</v>
      </c>
      <c r="E438" s="33"/>
      <c r="F438" s="35">
        <v>26</v>
      </c>
      <c r="G438" s="274">
        <f>'Vedlegg 1 - Rentekurve'!$D35*C438</f>
        <v>1.0127499999999999E-2</v>
      </c>
      <c r="H438" s="274">
        <f>'Vedlegg 1 - Rentekurve'!$D35*D438</f>
        <v>-1.13428E-2</v>
      </c>
      <c r="I438" s="37"/>
    </row>
    <row r="439" spans="1:9" ht="12.75" customHeight="1">
      <c r="A439" s="32"/>
      <c r="B439" s="35">
        <v>27</v>
      </c>
      <c r="C439" s="400">
        <v>0.25</v>
      </c>
      <c r="D439" s="400">
        <v>-0.28000000000000003</v>
      </c>
      <c r="E439" s="33"/>
      <c r="F439" s="35">
        <v>27</v>
      </c>
      <c r="G439" s="274">
        <f>'Vedlegg 1 - Rentekurve'!$D36*C439</f>
        <v>1.00775E-2</v>
      </c>
      <c r="H439" s="274">
        <f>'Vedlegg 1 - Rentekurve'!$D36*D439</f>
        <v>-1.1286800000000001E-2</v>
      </c>
      <c r="I439" s="37"/>
    </row>
    <row r="440" spans="1:9" ht="12.75" customHeight="1">
      <c r="A440" s="32"/>
      <c r="B440" s="35">
        <v>28</v>
      </c>
      <c r="C440" s="400">
        <v>0.25</v>
      </c>
      <c r="D440" s="400">
        <v>-0.28000000000000003</v>
      </c>
      <c r="E440" s="33"/>
      <c r="F440" s="35">
        <v>28</v>
      </c>
      <c r="G440" s="274">
        <f>'Vedlegg 1 - Rentekurve'!$D37*C440</f>
        <v>1.00325E-2</v>
      </c>
      <c r="H440" s="274">
        <f>'Vedlegg 1 - Rentekurve'!$D37*D440</f>
        <v>-1.1236400000000001E-2</v>
      </c>
      <c r="I440" s="37"/>
    </row>
    <row r="441" spans="1:9" ht="12.75" customHeight="1">
      <c r="A441" s="32"/>
      <c r="B441" s="35">
        <v>29</v>
      </c>
      <c r="C441" s="400">
        <v>0.25</v>
      </c>
      <c r="D441" s="400">
        <v>-0.28000000000000003</v>
      </c>
      <c r="E441" s="33"/>
      <c r="F441" s="35">
        <v>29</v>
      </c>
      <c r="G441" s="274">
        <f>'Vedlegg 1 - Rentekurve'!$D38*C441</f>
        <v>9.9874999999999999E-3</v>
      </c>
      <c r="H441" s="274">
        <f>'Vedlegg 1 - Rentekurve'!$D38*D441</f>
        <v>-1.1186000000000001E-2</v>
      </c>
      <c r="I441" s="37"/>
    </row>
    <row r="442" spans="1:9" ht="12.75" customHeight="1">
      <c r="A442" s="32"/>
      <c r="B442" s="35">
        <v>30</v>
      </c>
      <c r="C442" s="400">
        <v>0.25</v>
      </c>
      <c r="D442" s="400">
        <v>-0.28000000000000003</v>
      </c>
      <c r="E442" s="33"/>
      <c r="F442" s="35">
        <v>30</v>
      </c>
      <c r="G442" s="274">
        <f>'Vedlegg 1 - Rentekurve'!$D39*C442</f>
        <v>9.9424999999999999E-3</v>
      </c>
      <c r="H442" s="274">
        <f>'Vedlegg 1 - Rentekurve'!$D39*D442</f>
        <v>-1.1135600000000001E-2</v>
      </c>
      <c r="I442" s="37"/>
    </row>
    <row r="443" spans="1:9" ht="12.75" customHeight="1">
      <c r="A443" s="32"/>
      <c r="B443" s="35">
        <v>31</v>
      </c>
      <c r="C443" s="400">
        <v>0.25</v>
      </c>
      <c r="D443" s="400">
        <v>-0.28000000000000003</v>
      </c>
      <c r="E443" s="33"/>
      <c r="F443" s="35">
        <v>31</v>
      </c>
      <c r="G443" s="274">
        <f>'Vedlegg 1 - Rentekurve'!$D40*C443</f>
        <v>9.9024999999999998E-3</v>
      </c>
      <c r="H443" s="274">
        <f>'Vedlegg 1 - Rentekurve'!$D40*D443</f>
        <v>-1.1090800000000001E-2</v>
      </c>
      <c r="I443" s="37"/>
    </row>
    <row r="444" spans="1:9" ht="12.75" customHeight="1">
      <c r="A444" s="32"/>
      <c r="B444" s="35">
        <v>32</v>
      </c>
      <c r="C444" s="400">
        <v>0.25</v>
      </c>
      <c r="D444" s="400">
        <v>-0.28000000000000003</v>
      </c>
      <c r="E444" s="33"/>
      <c r="F444" s="35">
        <v>32</v>
      </c>
      <c r="G444" s="274">
        <f>'Vedlegg 1 - Rentekurve'!$D41*C444</f>
        <v>9.8624999999999997E-3</v>
      </c>
      <c r="H444" s="274">
        <f>'Vedlegg 1 - Rentekurve'!$D41*D444</f>
        <v>-1.1046E-2</v>
      </c>
      <c r="I444" s="37"/>
    </row>
    <row r="445" spans="1:9" ht="12.75" customHeight="1">
      <c r="A445" s="32"/>
      <c r="B445" s="35">
        <v>33</v>
      </c>
      <c r="C445" s="400">
        <v>0.25</v>
      </c>
      <c r="D445" s="400">
        <v>-0.28000000000000003</v>
      </c>
      <c r="E445" s="33"/>
      <c r="F445" s="35">
        <v>33</v>
      </c>
      <c r="G445" s="274">
        <f>'Vedlegg 1 - Rentekurve'!$D42*C445</f>
        <v>9.8224999999999996E-3</v>
      </c>
      <c r="H445" s="274">
        <f>'Vedlegg 1 - Rentekurve'!$D42*D445</f>
        <v>-1.1001200000000001E-2</v>
      </c>
      <c r="I445" s="37"/>
    </row>
    <row r="446" spans="1:9" ht="12.75" customHeight="1">
      <c r="A446" s="32"/>
      <c r="B446" s="35">
        <v>34</v>
      </c>
      <c r="C446" s="400">
        <v>0.25</v>
      </c>
      <c r="D446" s="400">
        <v>-0.28000000000000003</v>
      </c>
      <c r="E446" s="33"/>
      <c r="F446" s="35">
        <v>34</v>
      </c>
      <c r="G446" s="274">
        <f>'Vedlegg 1 - Rentekurve'!$D43*C446</f>
        <v>9.7850000000000003E-3</v>
      </c>
      <c r="H446" s="274">
        <f>'Vedlegg 1 - Rentekurve'!$D43*D446</f>
        <v>-1.0959200000000001E-2</v>
      </c>
      <c r="I446" s="37"/>
    </row>
    <row r="447" spans="1:9" ht="12.75" customHeight="1">
      <c r="A447" s="32"/>
      <c r="B447" s="35">
        <v>35</v>
      </c>
      <c r="C447" s="400">
        <v>0.25</v>
      </c>
      <c r="D447" s="400">
        <v>-0.28000000000000003</v>
      </c>
      <c r="E447" s="33"/>
      <c r="F447" s="35">
        <v>35</v>
      </c>
      <c r="G447" s="274">
        <f>'Vedlegg 1 - Rentekurve'!$D44*C447</f>
        <v>9.75E-3</v>
      </c>
      <c r="H447" s="274">
        <f>'Vedlegg 1 - Rentekurve'!$D44*D447</f>
        <v>-1.0920000000000001E-2</v>
      </c>
      <c r="I447" s="37"/>
    </row>
    <row r="448" spans="1:9" ht="12.75" customHeight="1">
      <c r="A448" s="32"/>
      <c r="B448" s="35">
        <v>36</v>
      </c>
      <c r="C448" s="400">
        <v>0.25</v>
      </c>
      <c r="D448" s="400">
        <v>-0.28000000000000003</v>
      </c>
      <c r="E448" s="33"/>
      <c r="F448" s="35">
        <v>36</v>
      </c>
      <c r="G448" s="274">
        <f>'Vedlegg 1 - Rentekurve'!$D45*C448</f>
        <v>9.7149999999999997E-3</v>
      </c>
      <c r="H448" s="274">
        <f>'Vedlegg 1 - Rentekurve'!$D45*D448</f>
        <v>-1.0880800000000001E-2</v>
      </c>
      <c r="I448" s="37"/>
    </row>
    <row r="449" spans="1:9" ht="12.75" customHeight="1">
      <c r="A449" s="32"/>
      <c r="B449" s="35">
        <v>37</v>
      </c>
      <c r="C449" s="400">
        <v>0.25</v>
      </c>
      <c r="D449" s="400">
        <v>-0.28000000000000003</v>
      </c>
      <c r="E449" s="33"/>
      <c r="F449" s="35">
        <v>37</v>
      </c>
      <c r="G449" s="274">
        <f>'Vedlegg 1 - Rentekurve'!$D46*C449</f>
        <v>9.6799999999999994E-3</v>
      </c>
      <c r="H449" s="274">
        <f>'Vedlegg 1 - Rentekurve'!$D46*D449</f>
        <v>-1.08416E-2</v>
      </c>
      <c r="I449" s="37"/>
    </row>
    <row r="450" spans="1:9" ht="12.75" customHeight="1">
      <c r="A450" s="32"/>
      <c r="B450" s="35">
        <v>38</v>
      </c>
      <c r="C450" s="400">
        <v>0.25</v>
      </c>
      <c r="D450" s="400">
        <v>-0.28000000000000003</v>
      </c>
      <c r="E450" s="33"/>
      <c r="F450" s="35">
        <v>38</v>
      </c>
      <c r="G450" s="274">
        <f>'Vedlegg 1 - Rentekurve'!$D47*C450</f>
        <v>9.6500000000000006E-3</v>
      </c>
      <c r="H450" s="274">
        <f>'Vedlegg 1 - Rentekurve'!$D47*D450</f>
        <v>-1.0808000000000002E-2</v>
      </c>
      <c r="I450" s="37"/>
    </row>
    <row r="451" spans="1:9" ht="12.75" customHeight="1">
      <c r="A451" s="32"/>
      <c r="B451" s="35">
        <v>39</v>
      </c>
      <c r="C451" s="400">
        <v>0.25</v>
      </c>
      <c r="D451" s="400">
        <v>-0.28000000000000003</v>
      </c>
      <c r="E451" s="33"/>
      <c r="F451" s="35">
        <v>39</v>
      </c>
      <c r="G451" s="274">
        <f>'Vedlegg 1 - Rentekurve'!$D48*C451</f>
        <v>9.6174999999999993E-3</v>
      </c>
      <c r="H451" s="274">
        <f>'Vedlegg 1 - Rentekurve'!$D48*D451</f>
        <v>-1.0771600000000001E-2</v>
      </c>
      <c r="I451" s="37"/>
    </row>
    <row r="452" spans="1:9" ht="12.75" customHeight="1">
      <c r="A452" s="32"/>
      <c r="B452" s="35">
        <v>40</v>
      </c>
      <c r="C452" s="400">
        <v>0.25</v>
      </c>
      <c r="D452" s="400">
        <v>-0.28000000000000003</v>
      </c>
      <c r="E452" s="33"/>
      <c r="F452" s="35">
        <v>40</v>
      </c>
      <c r="G452" s="274">
        <f>'Vedlegg 1 - Rentekurve'!$D49*C452</f>
        <v>9.5875000000000005E-3</v>
      </c>
      <c r="H452" s="274">
        <f>'Vedlegg 1 - Rentekurve'!$D49*D452</f>
        <v>-1.0738000000000001E-2</v>
      </c>
      <c r="I452" s="37"/>
    </row>
    <row r="453" spans="1:9" ht="12.75" customHeight="1">
      <c r="A453" s="32"/>
      <c r="B453" s="35">
        <v>41</v>
      </c>
      <c r="C453" s="400">
        <v>0.25</v>
      </c>
      <c r="D453" s="400">
        <v>-0.28000000000000003</v>
      </c>
      <c r="E453" s="33"/>
      <c r="F453" s="35">
        <v>41</v>
      </c>
      <c r="G453" s="274">
        <f>'Vedlegg 1 - Rentekurve'!$D50*C453</f>
        <v>9.5600000000000008E-3</v>
      </c>
      <c r="H453" s="274">
        <f>'Vedlegg 1 - Rentekurve'!$D50*D453</f>
        <v>-1.0707200000000002E-2</v>
      </c>
      <c r="I453" s="37"/>
    </row>
    <row r="454" spans="1:9" ht="12.75" customHeight="1">
      <c r="A454" s="32"/>
      <c r="B454" s="35">
        <v>42</v>
      </c>
      <c r="C454" s="400">
        <v>0.25</v>
      </c>
      <c r="D454" s="400">
        <v>-0.28000000000000003</v>
      </c>
      <c r="E454" s="33"/>
      <c r="F454" s="35">
        <v>42</v>
      </c>
      <c r="G454" s="274">
        <f>'Vedlegg 1 - Rentekurve'!$D51*C454</f>
        <v>9.5324999999999993E-3</v>
      </c>
      <c r="H454" s="274">
        <f>'Vedlegg 1 - Rentekurve'!$D51*D454</f>
        <v>-1.0676400000000001E-2</v>
      </c>
      <c r="I454" s="37"/>
    </row>
    <row r="455" spans="1:9" ht="12.75" customHeight="1">
      <c r="A455" s="32"/>
      <c r="B455" s="35">
        <v>43</v>
      </c>
      <c r="C455" s="400">
        <v>0.25</v>
      </c>
      <c r="D455" s="400">
        <v>-0.28000000000000003</v>
      </c>
      <c r="E455" s="33"/>
      <c r="F455" s="35">
        <v>43</v>
      </c>
      <c r="G455" s="274">
        <f>'Vedlegg 1 - Rentekurve'!$D52*C455</f>
        <v>9.5049999999999996E-3</v>
      </c>
      <c r="H455" s="274">
        <f>'Vedlegg 1 - Rentekurve'!$D52*D455</f>
        <v>-1.06456E-2</v>
      </c>
      <c r="I455" s="37"/>
    </row>
    <row r="456" spans="1:9" ht="12.75" customHeight="1">
      <c r="A456" s="32"/>
      <c r="B456" s="35">
        <v>44</v>
      </c>
      <c r="C456" s="400">
        <v>0.25</v>
      </c>
      <c r="D456" s="400">
        <v>-0.28000000000000003</v>
      </c>
      <c r="E456" s="33"/>
      <c r="F456" s="35">
        <v>44</v>
      </c>
      <c r="G456" s="274">
        <f>'Vedlegg 1 - Rentekurve'!$D53*C456</f>
        <v>9.4800000000000006E-3</v>
      </c>
      <c r="H456" s="274">
        <f>'Vedlegg 1 - Rentekurve'!$D53*D456</f>
        <v>-1.0617600000000001E-2</v>
      </c>
      <c r="I456" s="37"/>
    </row>
    <row r="457" spans="1:9" ht="12.75" customHeight="1">
      <c r="A457" s="32"/>
      <c r="B457" s="35">
        <v>45</v>
      </c>
      <c r="C457" s="400">
        <v>0.25</v>
      </c>
      <c r="D457" s="400">
        <v>-0.28000000000000003</v>
      </c>
      <c r="E457" s="33"/>
      <c r="F457" s="35">
        <v>45</v>
      </c>
      <c r="G457" s="274">
        <f>'Vedlegg 1 - Rentekurve'!$D54*C457</f>
        <v>9.4549999999999999E-3</v>
      </c>
      <c r="H457" s="274">
        <f>'Vedlegg 1 - Rentekurve'!$D54*D457</f>
        <v>-1.0589600000000001E-2</v>
      </c>
      <c r="I457" s="37"/>
    </row>
    <row r="458" spans="1:9" ht="12.75" customHeight="1">
      <c r="A458" s="32"/>
      <c r="B458" s="35">
        <v>46</v>
      </c>
      <c r="C458" s="400">
        <v>0.25</v>
      </c>
      <c r="D458" s="400">
        <v>-0.28000000000000003</v>
      </c>
      <c r="E458" s="33"/>
      <c r="F458" s="35">
        <v>46</v>
      </c>
      <c r="G458" s="274">
        <f>'Vedlegg 1 - Rentekurve'!$D55*C458</f>
        <v>9.4299999999999991E-3</v>
      </c>
      <c r="H458" s="274">
        <f>'Vedlegg 1 - Rentekurve'!$D55*D458</f>
        <v>-1.0561600000000001E-2</v>
      </c>
      <c r="I458" s="37"/>
    </row>
    <row r="459" spans="1:9" ht="12.75" customHeight="1">
      <c r="A459" s="32"/>
      <c r="B459" s="35">
        <v>47</v>
      </c>
      <c r="C459" s="400">
        <v>0.25</v>
      </c>
      <c r="D459" s="400">
        <v>-0.28000000000000003</v>
      </c>
      <c r="E459" s="33"/>
      <c r="F459" s="35">
        <v>47</v>
      </c>
      <c r="G459" s="274">
        <f>'Vedlegg 1 - Rentekurve'!$D56*C459</f>
        <v>9.4074999999999992E-3</v>
      </c>
      <c r="H459" s="274">
        <f>'Vedlegg 1 - Rentekurve'!$D56*D459</f>
        <v>-1.05364E-2</v>
      </c>
      <c r="I459" s="37"/>
    </row>
    <row r="460" spans="1:9" ht="12.75" customHeight="1">
      <c r="A460" s="32"/>
      <c r="B460" s="35">
        <v>48</v>
      </c>
      <c r="C460" s="400">
        <v>0.25</v>
      </c>
      <c r="D460" s="400">
        <v>-0.28000000000000003</v>
      </c>
      <c r="E460" s="33"/>
      <c r="F460" s="35">
        <v>48</v>
      </c>
      <c r="G460" s="274">
        <f>'Vedlegg 1 - Rentekurve'!$D57*C460</f>
        <v>9.3849999999999992E-3</v>
      </c>
      <c r="H460" s="274">
        <f>'Vedlegg 1 - Rentekurve'!$D57*D460</f>
        <v>-1.05112E-2</v>
      </c>
      <c r="I460" s="37"/>
    </row>
    <row r="461" spans="1:9" ht="12.75" customHeight="1">
      <c r="A461" s="32"/>
      <c r="B461" s="35">
        <v>49</v>
      </c>
      <c r="C461" s="400">
        <v>0.25</v>
      </c>
      <c r="D461" s="400">
        <v>-0.28000000000000003</v>
      </c>
      <c r="E461" s="33"/>
      <c r="F461" s="35">
        <v>49</v>
      </c>
      <c r="G461" s="274">
        <f>'Vedlegg 1 - Rentekurve'!$D58*C461</f>
        <v>9.3624999999999993E-3</v>
      </c>
      <c r="H461" s="274">
        <f>'Vedlegg 1 - Rentekurve'!$D58*D461</f>
        <v>-1.0486000000000001E-2</v>
      </c>
      <c r="I461" s="37"/>
    </row>
    <row r="462" spans="1:9" ht="12.75" customHeight="1">
      <c r="A462" s="32"/>
      <c r="B462" s="35">
        <v>50</v>
      </c>
      <c r="C462" s="400">
        <v>0.25</v>
      </c>
      <c r="D462" s="400">
        <v>-0.28000000000000003</v>
      </c>
      <c r="E462" s="33"/>
      <c r="F462" s="35">
        <v>50</v>
      </c>
      <c r="G462" s="274">
        <f>'Vedlegg 1 - Rentekurve'!$D59*C462</f>
        <v>9.3425000000000001E-3</v>
      </c>
      <c r="H462" s="274">
        <f>'Vedlegg 1 - Rentekurve'!$D59*D462</f>
        <v>-1.0463600000000002E-2</v>
      </c>
      <c r="I462" s="37"/>
    </row>
    <row r="463" spans="1:9" ht="12.75" customHeight="1">
      <c r="A463" s="32"/>
      <c r="B463" s="35">
        <v>51</v>
      </c>
      <c r="C463" s="400">
        <v>0.25</v>
      </c>
      <c r="D463" s="400">
        <v>-0.28000000000000003</v>
      </c>
      <c r="E463" s="33"/>
      <c r="F463" s="35">
        <v>51</v>
      </c>
      <c r="G463" s="274">
        <f>'Vedlegg 1 - Rentekurve'!$D60*C463</f>
        <v>9.3224999999999992E-3</v>
      </c>
      <c r="H463" s="274">
        <f>'Vedlegg 1 - Rentekurve'!$D60*D463</f>
        <v>-1.0441199999999999E-2</v>
      </c>
      <c r="I463" s="37"/>
    </row>
    <row r="464" spans="1:9" ht="12.75" customHeight="1">
      <c r="A464" s="32"/>
      <c r="B464" s="35">
        <v>52</v>
      </c>
      <c r="C464" s="400">
        <v>0.25</v>
      </c>
      <c r="D464" s="400">
        <v>-0.28000000000000003</v>
      </c>
      <c r="E464" s="33"/>
      <c r="F464" s="35">
        <v>52</v>
      </c>
      <c r="G464" s="274">
        <f>'Vedlegg 1 - Rentekurve'!$D61*C464</f>
        <v>9.3025E-3</v>
      </c>
      <c r="H464" s="274">
        <f>'Vedlegg 1 - Rentekurve'!$D61*D464</f>
        <v>-1.0418800000000001E-2</v>
      </c>
      <c r="I464" s="37"/>
    </row>
    <row r="465" spans="1:9" ht="12.75" customHeight="1">
      <c r="A465" s="32"/>
      <c r="B465" s="35">
        <v>53</v>
      </c>
      <c r="C465" s="400">
        <v>0.25</v>
      </c>
      <c r="D465" s="400">
        <v>-0.28000000000000003</v>
      </c>
      <c r="E465" s="33"/>
      <c r="F465" s="35">
        <v>53</v>
      </c>
      <c r="G465" s="274">
        <f>'Vedlegg 1 - Rentekurve'!$D62*C465</f>
        <v>9.2825000000000008E-3</v>
      </c>
      <c r="H465" s="274">
        <f>'Vedlegg 1 - Rentekurve'!$D62*D465</f>
        <v>-1.0396400000000002E-2</v>
      </c>
      <c r="I465" s="37"/>
    </row>
    <row r="466" spans="1:9" ht="12.75" customHeight="1">
      <c r="A466" s="32"/>
      <c r="B466" s="35">
        <v>54</v>
      </c>
      <c r="C466" s="400">
        <v>0.25</v>
      </c>
      <c r="D466" s="400">
        <v>-0.28000000000000003</v>
      </c>
      <c r="E466" s="33"/>
      <c r="F466" s="35">
        <v>54</v>
      </c>
      <c r="G466" s="274">
        <f>'Vedlegg 1 - Rentekurve'!$D63*C466</f>
        <v>9.2650000000000007E-3</v>
      </c>
      <c r="H466" s="274">
        <f>'Vedlegg 1 - Rentekurve'!$D63*D466</f>
        <v>-1.0376800000000002E-2</v>
      </c>
      <c r="I466" s="37"/>
    </row>
    <row r="467" spans="1:9" ht="12.75" customHeight="1">
      <c r="A467" s="32"/>
      <c r="B467" s="35">
        <v>55</v>
      </c>
      <c r="C467" s="400">
        <v>0.25</v>
      </c>
      <c r="D467" s="400">
        <v>-0.28000000000000003</v>
      </c>
      <c r="E467" s="33"/>
      <c r="F467" s="35">
        <v>55</v>
      </c>
      <c r="G467" s="274">
        <f>'Vedlegg 1 - Rentekurve'!$D64*C467</f>
        <v>9.2475000000000005E-3</v>
      </c>
      <c r="H467" s="274">
        <f>'Vedlegg 1 - Rentekurve'!$D64*D467</f>
        <v>-1.0357200000000002E-2</v>
      </c>
      <c r="I467" s="37"/>
    </row>
    <row r="468" spans="1:9" ht="12.75" customHeight="1">
      <c r="A468" s="32"/>
      <c r="B468" s="35">
        <v>56</v>
      </c>
      <c r="C468" s="400">
        <v>0.25</v>
      </c>
      <c r="D468" s="400">
        <v>-0.28000000000000003</v>
      </c>
      <c r="E468" s="33"/>
      <c r="F468" s="35">
        <v>56</v>
      </c>
      <c r="G468" s="274">
        <f>'Vedlegg 1 - Rentekurve'!$D65*C468</f>
        <v>9.2300000000000004E-3</v>
      </c>
      <c r="H468" s="274">
        <f>'Vedlegg 1 - Rentekurve'!$D65*D468</f>
        <v>-1.0337600000000001E-2</v>
      </c>
      <c r="I468" s="37"/>
    </row>
    <row r="469" spans="1:9" ht="12.75" customHeight="1">
      <c r="A469" s="32"/>
      <c r="B469" s="35">
        <v>57</v>
      </c>
      <c r="C469" s="400">
        <v>0.25</v>
      </c>
      <c r="D469" s="400">
        <v>-0.28000000000000003</v>
      </c>
      <c r="E469" s="33"/>
      <c r="F469" s="35">
        <v>57</v>
      </c>
      <c r="G469" s="274">
        <f>'Vedlegg 1 - Rentekurve'!$D66*C469</f>
        <v>9.2125000000000002E-3</v>
      </c>
      <c r="H469" s="274">
        <f>'Vedlegg 1 - Rentekurve'!$D66*D469</f>
        <v>-1.0318000000000001E-2</v>
      </c>
      <c r="I469" s="37"/>
    </row>
    <row r="470" spans="1:9" ht="12.75" customHeight="1">
      <c r="A470" s="32"/>
      <c r="B470" s="35">
        <v>58</v>
      </c>
      <c r="C470" s="400">
        <v>0.25</v>
      </c>
      <c r="D470" s="400">
        <v>-0.28000000000000003</v>
      </c>
      <c r="E470" s="33"/>
      <c r="F470" s="35">
        <v>58</v>
      </c>
      <c r="G470" s="274">
        <f>'Vedlegg 1 - Rentekurve'!$D67*C470</f>
        <v>9.1975000000000008E-3</v>
      </c>
      <c r="H470" s="274">
        <f>'Vedlegg 1 - Rentekurve'!$D67*D470</f>
        <v>-1.0301200000000002E-2</v>
      </c>
      <c r="I470" s="37"/>
    </row>
    <row r="471" spans="1:9" ht="12.75" customHeight="1">
      <c r="A471" s="32"/>
      <c r="B471" s="35">
        <v>59</v>
      </c>
      <c r="C471" s="400">
        <v>0.25</v>
      </c>
      <c r="D471" s="400">
        <v>-0.28000000000000003</v>
      </c>
      <c r="E471" s="33"/>
      <c r="F471" s="35">
        <v>59</v>
      </c>
      <c r="G471" s="274">
        <f>'Vedlegg 1 - Rentekurve'!$D68*C471</f>
        <v>9.1824999999999997E-3</v>
      </c>
      <c r="H471" s="274">
        <f>'Vedlegg 1 - Rentekurve'!$D68*D471</f>
        <v>-1.0284400000000001E-2</v>
      </c>
      <c r="I471" s="37"/>
    </row>
    <row r="472" spans="1:9" ht="12.75" customHeight="1">
      <c r="A472" s="32"/>
      <c r="B472" s="35">
        <v>60</v>
      </c>
      <c r="C472" s="400">
        <v>0.25</v>
      </c>
      <c r="D472" s="400">
        <v>-0.28000000000000003</v>
      </c>
      <c r="E472" s="33"/>
      <c r="F472" s="35">
        <v>60</v>
      </c>
      <c r="G472" s="274">
        <f>'Vedlegg 1 - Rentekurve'!$D69*C472</f>
        <v>9.1675000000000003E-3</v>
      </c>
      <c r="H472" s="274">
        <f>'Vedlegg 1 - Rentekurve'!$D69*D472</f>
        <v>-1.0267600000000002E-2</v>
      </c>
      <c r="I472" s="37"/>
    </row>
    <row r="473" spans="1:9" ht="15.9" customHeight="1">
      <c r="A473" s="32"/>
      <c r="B473" s="33"/>
      <c r="C473" s="259"/>
      <c r="D473" s="263"/>
      <c r="E473" s="263"/>
      <c r="F473" s="263"/>
      <c r="G473" s="263"/>
      <c r="H473" s="33"/>
      <c r="I473" s="37"/>
    </row>
    <row r="474" spans="1:9" ht="15.9" customHeight="1">
      <c r="A474" s="32"/>
      <c r="B474" s="33"/>
      <c r="C474" s="259"/>
      <c r="D474" s="263"/>
      <c r="E474" s="263"/>
      <c r="F474" s="263"/>
      <c r="G474" s="263"/>
      <c r="H474" s="33"/>
      <c r="I474" s="37"/>
    </row>
    <row r="475" spans="1:9" ht="15.65" customHeight="1">
      <c r="A475" s="32"/>
      <c r="B475" s="60" t="s">
        <v>616</v>
      </c>
      <c r="C475" s="73" t="s">
        <v>617</v>
      </c>
      <c r="D475" s="64"/>
      <c r="E475" s="263"/>
      <c r="F475" s="263"/>
      <c r="G475" s="263"/>
      <c r="H475" s="33"/>
      <c r="I475" s="37"/>
    </row>
    <row r="476" spans="1:9" ht="15.9" customHeight="1">
      <c r="A476" s="32"/>
      <c r="B476" s="33"/>
      <c r="C476" s="259"/>
      <c r="D476" s="263"/>
      <c r="E476" s="64"/>
      <c r="F476" s="64"/>
      <c r="G476" s="33"/>
      <c r="H476" s="33"/>
      <c r="I476" s="37"/>
    </row>
    <row r="477" spans="1:9" ht="20.149999999999999" customHeight="1">
      <c r="A477" s="32"/>
      <c r="B477" s="299" t="s">
        <v>618</v>
      </c>
      <c r="C477" s="246" t="s">
        <v>591</v>
      </c>
      <c r="D477" s="247" t="s">
        <v>56</v>
      </c>
      <c r="E477" s="247" t="s">
        <v>57</v>
      </c>
      <c r="F477" s="247" t="s">
        <v>58</v>
      </c>
      <c r="G477" s="33"/>
      <c r="H477" s="33"/>
      <c r="I477" s="37"/>
    </row>
    <row r="478" spans="1:9" ht="12.75" customHeight="1">
      <c r="A478" s="32"/>
      <c r="B478" s="33"/>
      <c r="C478" s="249">
        <v>1</v>
      </c>
      <c r="D478" s="274">
        <f>IF(D348&lt;0,IF($G413&gt;-D348,-D142*($C478-0.5)/(1+AVERAGE('Vedlegg 1 - Rentekurve'!$D9:D10))*(-D348)*0.1,-D142*($C478-0.5)/(1+AVERAGE('Vedlegg 1 - Rentekurve'!$D9:D10))*$G413*0.1),0)</f>
        <v>0</v>
      </c>
      <c r="E478" s="274">
        <f>IF(E348&lt;0,IF($G413&gt;-E348,-E142*($C478-0.5)/(1+AVERAGE('Vedlegg 1 - Rentekurve'!$D9:D10))*(-E348)*0.5,-E142*($C478-0.5)/(1+AVERAGE('Vedlegg 1 - Rentekurve'!$D9:D10))*$G413*0.5),0)</f>
        <v>0</v>
      </c>
      <c r="F478" s="274">
        <f>IF(F348&lt;0,IF($G413&gt;-F348,-F142*($C478-0.5)/(1+AVERAGE('Vedlegg 1 - Rentekurve'!$D9:D10))*(-F348)-F142*($C478-0.5)/(1+AVERAGE('Vedlegg 1 - Rentekurve'!$D9:D10))*(F348+$G413)*0.2,-F142*($C478-0.5)/(1+AVERAGE('Vedlegg 1 - Rentekurve'!$D9:D10))*$G413),-F142*($C478-0.5)/(1+AVERAGE('Vedlegg 1 - Rentekurve'!$D9:D10))*$G413*0.2)</f>
        <v>0</v>
      </c>
      <c r="G478" s="33"/>
      <c r="H478" s="33"/>
      <c r="I478" s="37"/>
    </row>
    <row r="479" spans="1:9" ht="12.75" customHeight="1">
      <c r="A479" s="397"/>
      <c r="B479" s="33"/>
      <c r="C479" s="35">
        <v>2</v>
      </c>
      <c r="D479" s="274">
        <f>IF(D349&lt;0,IF($G414&gt;-D349,-D143*($C479-0.5)/(1+AVERAGE('Vedlegg 1 - Rentekurve'!$D10:D11))*(-D349)*0.1,-D143*($C479-0.5)/(1+AVERAGE('Vedlegg 1 - Rentekurve'!$D10:D11))*$G414*0.1),0)</f>
        <v>0</v>
      </c>
      <c r="E479" s="274">
        <f>IF(E349&lt;0,IF($G414&gt;-E349,-E143*($C479-0.5)/(1+AVERAGE('Vedlegg 1 - Rentekurve'!$D10:D11))*(-E349)*0.5,-E143*($C479-0.5)/(1+AVERAGE('Vedlegg 1 - Rentekurve'!$D10:D11))*$G414*0.5),0)</f>
        <v>0</v>
      </c>
      <c r="F479" s="274">
        <f>IF(F349&lt;0,IF($G414&gt;-F349,-F143*($C479-0.5)/(1+AVERAGE('Vedlegg 1 - Rentekurve'!$D10:D11))*(-F349)-F143*($C479-0.5)/(1+AVERAGE('Vedlegg 1 - Rentekurve'!$D10:D11))*(F349+$G414)*0.2,-F143*($C479-0.5)/(1+AVERAGE('Vedlegg 1 - Rentekurve'!$D10:D11))*$G414),-F143*($C479-0.5)/(1+AVERAGE('Vedlegg 1 - Rentekurve'!$D10:D11))*$G414*0.2)</f>
        <v>0</v>
      </c>
      <c r="G479" s="33"/>
      <c r="H479" s="33"/>
      <c r="I479" s="37"/>
    </row>
    <row r="480" spans="1:9" ht="12.75" customHeight="1">
      <c r="A480" s="32"/>
      <c r="B480" s="33"/>
      <c r="C480" s="35">
        <v>3</v>
      </c>
      <c r="D480" s="274">
        <f>IF(D350&lt;0,IF($G415&gt;-D350,-D144*($C480-0.5)/(1+AVERAGE('Vedlegg 1 - Rentekurve'!$D11:D12))*(-D350)*0.1,-D144*($C480-0.5)/(1+AVERAGE('Vedlegg 1 - Rentekurve'!$D11:D12))*$G415*0.1),0)</f>
        <v>0</v>
      </c>
      <c r="E480" s="274">
        <f>IF(E350&lt;0,IF($G415&gt;-E350,-E144*($C480-0.5)/(1+AVERAGE('Vedlegg 1 - Rentekurve'!$D11:D12))*(-E350)*0.5,-E144*($C480-0.5)/(1+AVERAGE('Vedlegg 1 - Rentekurve'!$D11:D12))*$G415*0.5),0)</f>
        <v>0</v>
      </c>
      <c r="F480" s="274">
        <f>IF(F350&lt;0,IF($G415&gt;-F350,-F144*($C480-0.5)/(1+AVERAGE('Vedlegg 1 - Rentekurve'!$D11:D12))*(-F350)-F144*($C480-0.5)/(1+AVERAGE('Vedlegg 1 - Rentekurve'!$D11:D12))*(F350+$G415)*0.2,-F144*($C480-0.5)/(1+AVERAGE('Vedlegg 1 - Rentekurve'!$D11:D12))*$G415),-F144*($C480-0.5)/(1+AVERAGE('Vedlegg 1 - Rentekurve'!$D11:D12))*$G415*0.2)</f>
        <v>0</v>
      </c>
      <c r="G480" s="33"/>
      <c r="H480" s="33"/>
      <c r="I480" s="37"/>
    </row>
    <row r="481" spans="1:9" ht="12.75" customHeight="1">
      <c r="A481" s="32"/>
      <c r="B481" s="33"/>
      <c r="C481" s="35">
        <v>4</v>
      </c>
      <c r="D481" s="274">
        <f>IF(D351&lt;0,IF($G416&gt;-D351,-D145*($C481-0.5)/(1+AVERAGE('Vedlegg 1 - Rentekurve'!$D12:D13))*(-D351)*0.1,-D145*($C481-0.5)/(1+AVERAGE('Vedlegg 1 - Rentekurve'!$D12:D13))*$G416*0.1),0)</f>
        <v>0</v>
      </c>
      <c r="E481" s="274">
        <f>IF(E351&lt;0,IF($G416&gt;-E351,-E145*($C481-0.5)/(1+AVERAGE('Vedlegg 1 - Rentekurve'!$D12:D13))*(-E351)*0.5,-E145*($C481-0.5)/(1+AVERAGE('Vedlegg 1 - Rentekurve'!$D12:D13))*$G416*0.5),0)</f>
        <v>0</v>
      </c>
      <c r="F481" s="274">
        <f>IF(F351&lt;0,IF($G416&gt;-F351,-F145*($C481-0.5)/(1+AVERAGE('Vedlegg 1 - Rentekurve'!$D12:D13))*(-F351)-F145*($C481-0.5)/(1+AVERAGE('Vedlegg 1 - Rentekurve'!$D12:D13))*(F351+$G416)*0.2,-F145*($C481-0.5)/(1+AVERAGE('Vedlegg 1 - Rentekurve'!$D12:D13))*$G416),-F145*($C481-0.5)/(1+AVERAGE('Vedlegg 1 - Rentekurve'!$D12:D13))*$G416*0.2)</f>
        <v>0</v>
      </c>
      <c r="G481" s="33"/>
      <c r="H481" s="33"/>
      <c r="I481" s="37"/>
    </row>
    <row r="482" spans="1:9" ht="12.75" customHeight="1">
      <c r="A482" s="32"/>
      <c r="B482" s="33"/>
      <c r="C482" s="35">
        <v>5</v>
      </c>
      <c r="D482" s="274">
        <f>IF(D352&lt;0,IF($G417&gt;-D352,-D146*($C482-0.5)/(1+AVERAGE('Vedlegg 1 - Rentekurve'!$D13:D14))*(-D352)*0.1,-D146*($C482-0.5)/(1+AVERAGE('Vedlegg 1 - Rentekurve'!$D13:D14))*$G417*0.1),0)</f>
        <v>0</v>
      </c>
      <c r="E482" s="274">
        <f>IF(E352&lt;0,IF($G417&gt;-E352,-E146*($C482-0.5)/(1+AVERAGE('Vedlegg 1 - Rentekurve'!$D13:D14))*(-E352)*0.5,-E146*($C482-0.5)/(1+AVERAGE('Vedlegg 1 - Rentekurve'!$D13:D14))*$G417*0.5),0)</f>
        <v>0</v>
      </c>
      <c r="F482" s="274">
        <f>IF(F352&lt;0,IF($G417&gt;-F352,-F146*($C482-0.5)/(1+AVERAGE('Vedlegg 1 - Rentekurve'!$D13:D14))*(-F352)-F146*($C482-0.5)/(1+AVERAGE('Vedlegg 1 - Rentekurve'!$D13:D14))*(F352+$G417)*0.2,-F146*($C482-0.5)/(1+AVERAGE('Vedlegg 1 - Rentekurve'!$D13:D14))*$G417),-F146*($C482-0.5)/(1+AVERAGE('Vedlegg 1 - Rentekurve'!$D13:D14))*$G417*0.2)</f>
        <v>0</v>
      </c>
      <c r="G482" s="33"/>
      <c r="H482" s="33"/>
      <c r="I482" s="37"/>
    </row>
    <row r="483" spans="1:9" ht="12.75" customHeight="1">
      <c r="A483" s="32"/>
      <c r="B483" s="33"/>
      <c r="C483" s="35">
        <v>6</v>
      </c>
      <c r="D483" s="274">
        <f>IF(D353&lt;0,IF($G418&gt;-D353,-D147*($C483-0.5)/(1+AVERAGE('Vedlegg 1 - Rentekurve'!$D14:D15))*(-D353)*0.1,-D147*($C483-0.5)/(1+AVERAGE('Vedlegg 1 - Rentekurve'!$D14:D15))*$G418*0.1),0)</f>
        <v>0</v>
      </c>
      <c r="E483" s="274">
        <f>IF(E353&lt;0,IF($G418&gt;-E353,-E147*($C483-0.5)/(1+AVERAGE('Vedlegg 1 - Rentekurve'!$D14:D15))*(-E353)*0.5,-E147*($C483-0.5)/(1+AVERAGE('Vedlegg 1 - Rentekurve'!$D14:D15))*$G418*0.5),0)</f>
        <v>0</v>
      </c>
      <c r="F483" s="274">
        <f>IF(F353&lt;0,IF($G418&gt;-F353,-F147*($C483-0.5)/(1+AVERAGE('Vedlegg 1 - Rentekurve'!$D14:D15))*(-F353)-F147*($C483-0.5)/(1+AVERAGE('Vedlegg 1 - Rentekurve'!$D14:D15))*(F353+$G418)*0.2,-F147*($C483-0.5)/(1+AVERAGE('Vedlegg 1 - Rentekurve'!$D14:D15))*$G418),-F147*($C483-0.5)/(1+AVERAGE('Vedlegg 1 - Rentekurve'!$D14:D15))*$G418*0.2)</f>
        <v>0</v>
      </c>
      <c r="G483" s="33"/>
      <c r="H483" s="33"/>
      <c r="I483" s="37"/>
    </row>
    <row r="484" spans="1:9" ht="12.75" customHeight="1">
      <c r="A484" s="32"/>
      <c r="B484" s="33"/>
      <c r="C484" s="35">
        <v>7</v>
      </c>
      <c r="D484" s="274">
        <f>IF(D354&lt;0,IF($G419&gt;-D354,-D148*($C484-0.5)/(1+AVERAGE('Vedlegg 1 - Rentekurve'!$D15:D16))*(-D354)*0.1,-D148*($C484-0.5)/(1+AVERAGE('Vedlegg 1 - Rentekurve'!$D15:D16))*$G419*0.1),0)</f>
        <v>0</v>
      </c>
      <c r="E484" s="274">
        <f>IF(E354&lt;0,IF($G419&gt;-E354,-E148*($C484-0.5)/(1+AVERAGE('Vedlegg 1 - Rentekurve'!$D15:D16))*(-E354)*0.5,-E148*($C484-0.5)/(1+AVERAGE('Vedlegg 1 - Rentekurve'!$D15:D16))*$G419*0.5),0)</f>
        <v>0</v>
      </c>
      <c r="F484" s="274">
        <f>IF(F354&lt;0,IF($G419&gt;-F354,-F148*($C484-0.5)/(1+AVERAGE('Vedlegg 1 - Rentekurve'!$D15:D16))*(-F354)-F148*($C484-0.5)/(1+AVERAGE('Vedlegg 1 - Rentekurve'!$D15:D16))*(F354+$G419)*0.2,-F148*($C484-0.5)/(1+AVERAGE('Vedlegg 1 - Rentekurve'!$D15:D16))*$G419),-F148*($C484-0.5)/(1+AVERAGE('Vedlegg 1 - Rentekurve'!$D15:D16))*$G419*0.2)</f>
        <v>0</v>
      </c>
      <c r="G484" s="33"/>
      <c r="H484" s="33"/>
      <c r="I484" s="37"/>
    </row>
    <row r="485" spans="1:9" ht="12.75" customHeight="1">
      <c r="A485" s="32"/>
      <c r="B485" s="33"/>
      <c r="C485" s="35">
        <v>8</v>
      </c>
      <c r="D485" s="274">
        <f>IF(D355&lt;0,IF($G420&gt;-D355,-D149*($C485-0.5)/(1+AVERAGE('Vedlegg 1 - Rentekurve'!$D16:D17))*(-D355)*0.1,-D149*($C485-0.5)/(1+AVERAGE('Vedlegg 1 - Rentekurve'!$D16:D17))*$G420*0.1),0)</f>
        <v>0</v>
      </c>
      <c r="E485" s="274">
        <f>IF(E355&lt;0,IF($G420&gt;-E355,-E149*($C485-0.5)/(1+AVERAGE('Vedlegg 1 - Rentekurve'!$D16:D17))*(-E355)*0.5,-E149*($C485-0.5)/(1+AVERAGE('Vedlegg 1 - Rentekurve'!$D16:D17))*$G420*0.5),0)</f>
        <v>0</v>
      </c>
      <c r="F485" s="274">
        <f>IF(F355&lt;0,IF($G420&gt;-F355,-F149*($C485-0.5)/(1+AVERAGE('Vedlegg 1 - Rentekurve'!$D16:D17))*(-F355)-F149*($C485-0.5)/(1+AVERAGE('Vedlegg 1 - Rentekurve'!$D16:D17))*(F355+$G420)*0.2,-F149*($C485-0.5)/(1+AVERAGE('Vedlegg 1 - Rentekurve'!$D16:D17))*$G420),-F149*($C485-0.5)/(1+AVERAGE('Vedlegg 1 - Rentekurve'!$D16:D17))*$G420*0.2)</f>
        <v>0</v>
      </c>
      <c r="G485" s="33"/>
      <c r="H485" s="33"/>
      <c r="I485" s="37"/>
    </row>
    <row r="486" spans="1:9" ht="12.75" customHeight="1">
      <c r="A486" s="32"/>
      <c r="B486" s="33"/>
      <c r="C486" s="35">
        <v>9</v>
      </c>
      <c r="D486" s="274">
        <f>IF(D356&lt;0,IF($G421&gt;-D356,-D150*($C486-0.5)/(1+AVERAGE('Vedlegg 1 - Rentekurve'!$D17:D18))*(-D356)*0.1,-D150*($C486-0.5)/(1+AVERAGE('Vedlegg 1 - Rentekurve'!$D17:D18))*$G421*0.1),0)</f>
        <v>0</v>
      </c>
      <c r="E486" s="274">
        <f>IF(E356&lt;0,IF($G421&gt;-E356,-E150*($C486-0.5)/(1+AVERAGE('Vedlegg 1 - Rentekurve'!$D17:D18))*(-E356)*0.5,-E150*($C486-0.5)/(1+AVERAGE('Vedlegg 1 - Rentekurve'!$D17:D18))*$G421*0.5),0)</f>
        <v>0</v>
      </c>
      <c r="F486" s="274">
        <f>IF(F356&lt;0,IF($G421&gt;-F356,-F150*($C486-0.5)/(1+AVERAGE('Vedlegg 1 - Rentekurve'!$D17:D18))*(-F356)-F150*($C486-0.5)/(1+AVERAGE('Vedlegg 1 - Rentekurve'!$D17:D18))*(F356+$G421)*0.2,-F150*($C486-0.5)/(1+AVERAGE('Vedlegg 1 - Rentekurve'!$D17:D18))*$G421),-F150*($C486-0.5)/(1+AVERAGE('Vedlegg 1 - Rentekurve'!$D17:D18))*$G421*0.2)</f>
        <v>0</v>
      </c>
      <c r="G486" s="33"/>
      <c r="H486" s="33"/>
      <c r="I486" s="37"/>
    </row>
    <row r="487" spans="1:9" ht="12.75" customHeight="1">
      <c r="A487" s="32"/>
      <c r="B487" s="33"/>
      <c r="C487" s="35">
        <v>10</v>
      </c>
      <c r="D487" s="274">
        <f>IF(D357&lt;0,IF($G422&gt;-D357,-D151*($C487-0.5)/(1+AVERAGE('Vedlegg 1 - Rentekurve'!$D18:D19))*(-D357)*0.1,-D151*($C487-0.5)/(1+AVERAGE('Vedlegg 1 - Rentekurve'!$D18:D19))*$G422*0.1),0)</f>
        <v>0</v>
      </c>
      <c r="E487" s="274">
        <f>IF(E357&lt;0,IF($G422&gt;-E357,-E151*($C487-0.5)/(1+AVERAGE('Vedlegg 1 - Rentekurve'!$D18:D19))*(-E357)*0.5,-E151*($C487-0.5)/(1+AVERAGE('Vedlegg 1 - Rentekurve'!$D18:D19))*$G422*0.5),0)</f>
        <v>0</v>
      </c>
      <c r="F487" s="274">
        <f>IF(F357&lt;0,IF($G422&gt;-F357,-F151*($C487-0.5)/(1+AVERAGE('Vedlegg 1 - Rentekurve'!$D18:D19))*(-F357)-F151*($C487-0.5)/(1+AVERAGE('Vedlegg 1 - Rentekurve'!$D18:D19))*(F357+$G422)*0.2,-F151*($C487-0.5)/(1+AVERAGE('Vedlegg 1 - Rentekurve'!$D18:D19))*$G422),-F151*($C487-0.5)/(1+AVERAGE('Vedlegg 1 - Rentekurve'!$D18:D19))*$G422*0.2)</f>
        <v>0</v>
      </c>
      <c r="G487" s="33"/>
      <c r="H487" s="33"/>
      <c r="I487" s="37"/>
    </row>
    <row r="488" spans="1:9" ht="12.75" customHeight="1">
      <c r="A488" s="32"/>
      <c r="B488" s="33"/>
      <c r="C488" s="35">
        <v>11</v>
      </c>
      <c r="D488" s="274">
        <f>IF(D358&lt;0,IF($G423&gt;-D358,-D152*($C488-0.5)/(1+AVERAGE('Vedlegg 1 - Rentekurve'!$D19:D20))*(-D358)*0.1,-D152*($C488-0.5)/(1+AVERAGE('Vedlegg 1 - Rentekurve'!$D19:D20))*$G423*0.1),0)</f>
        <v>0</v>
      </c>
      <c r="E488" s="274">
        <f>IF(E358&lt;0,IF($G423&gt;-E358,-E152*($C488-0.5)/(1+AVERAGE('Vedlegg 1 - Rentekurve'!$D19:D20))*(-E358)*0.5,-E152*($C488-0.5)/(1+AVERAGE('Vedlegg 1 - Rentekurve'!$D19:D20))*$G423*0.5),0)</f>
        <v>0</v>
      </c>
      <c r="F488" s="274">
        <f>IF(F358&lt;0,IF($G423&gt;-F358,-F152*($C488-0.5)/(1+AVERAGE('Vedlegg 1 - Rentekurve'!$D19:D20))*(-F358)-F152*($C488-0.5)/(1+AVERAGE('Vedlegg 1 - Rentekurve'!$D19:D20))*(F358+$G423)*0.2,-F152*($C488-0.5)/(1+AVERAGE('Vedlegg 1 - Rentekurve'!$D19:D20))*$G423),-F152*($C488-0.5)/(1+AVERAGE('Vedlegg 1 - Rentekurve'!$D19:D20))*$G423*0.2)</f>
        <v>0</v>
      </c>
      <c r="G488" s="33"/>
      <c r="H488" s="33"/>
      <c r="I488" s="37"/>
    </row>
    <row r="489" spans="1:9" ht="12.75" customHeight="1">
      <c r="A489" s="32"/>
      <c r="B489" s="33"/>
      <c r="C489" s="35">
        <v>12</v>
      </c>
      <c r="D489" s="274">
        <f>IF(D359&lt;0,IF($G424&gt;-D359,-D153*($C489-0.5)/(1+AVERAGE('Vedlegg 1 - Rentekurve'!$D20:D21))*(-D359)*0.1,-D153*($C489-0.5)/(1+AVERAGE('Vedlegg 1 - Rentekurve'!$D20:D21))*$G424*0.1),0)</f>
        <v>0</v>
      </c>
      <c r="E489" s="274">
        <f>IF(E359&lt;0,IF($G424&gt;-E359,-E153*($C489-0.5)/(1+AVERAGE('Vedlegg 1 - Rentekurve'!$D20:D21))*(-E359)*0.5,-E153*($C489-0.5)/(1+AVERAGE('Vedlegg 1 - Rentekurve'!$D20:D21))*$G424*0.5),0)</f>
        <v>0</v>
      </c>
      <c r="F489" s="274">
        <f>IF(F359&lt;0,IF($G424&gt;-F359,-F153*($C489-0.5)/(1+AVERAGE('Vedlegg 1 - Rentekurve'!$D20:D21))*(-F359)-F153*($C489-0.5)/(1+AVERAGE('Vedlegg 1 - Rentekurve'!$D20:D21))*(F359+$G424)*0.2,-F153*($C489-0.5)/(1+AVERAGE('Vedlegg 1 - Rentekurve'!$D20:D21))*$G424),-F153*($C489-0.5)/(1+AVERAGE('Vedlegg 1 - Rentekurve'!$D20:D21))*$G424*0.2)</f>
        <v>0</v>
      </c>
      <c r="G489" s="33"/>
      <c r="H489" s="33"/>
      <c r="I489" s="37"/>
    </row>
    <row r="490" spans="1:9" ht="12.75" customHeight="1">
      <c r="A490" s="32"/>
      <c r="B490" s="33"/>
      <c r="C490" s="35">
        <v>13</v>
      </c>
      <c r="D490" s="274">
        <f>IF(D360&lt;0,IF($G425&gt;-D360,-D154*($C490-0.5)/(1+AVERAGE('Vedlegg 1 - Rentekurve'!$D21:D22))*(-D360)*0.1,-D154*($C490-0.5)/(1+AVERAGE('Vedlegg 1 - Rentekurve'!$D21:D22))*$G425*0.1),0)</f>
        <v>0</v>
      </c>
      <c r="E490" s="274">
        <f>IF(E360&lt;0,IF($G425&gt;-E360,-E154*($C490-0.5)/(1+AVERAGE('Vedlegg 1 - Rentekurve'!$D21:D22))*(-E360)*0.5,-E154*($C490-0.5)/(1+AVERAGE('Vedlegg 1 - Rentekurve'!$D21:D22))*$G425*0.5),0)</f>
        <v>0</v>
      </c>
      <c r="F490" s="274">
        <f>IF(F360&lt;0,IF($G425&gt;-F360,-F154*($C490-0.5)/(1+AVERAGE('Vedlegg 1 - Rentekurve'!$D21:D22))*(-F360)-F154*($C490-0.5)/(1+AVERAGE('Vedlegg 1 - Rentekurve'!$D21:D22))*(F360+$G425)*0.2,-F154*($C490-0.5)/(1+AVERAGE('Vedlegg 1 - Rentekurve'!$D21:D22))*$G425),-F154*($C490-0.5)/(1+AVERAGE('Vedlegg 1 - Rentekurve'!$D21:D22))*$G425*0.2)</f>
        <v>0</v>
      </c>
      <c r="G490" s="33"/>
      <c r="H490" s="33"/>
      <c r="I490" s="37"/>
    </row>
    <row r="491" spans="1:9" ht="12.75" customHeight="1">
      <c r="A491" s="32"/>
      <c r="B491" s="33"/>
      <c r="C491" s="35">
        <v>14</v>
      </c>
      <c r="D491" s="274">
        <f>IF(D361&lt;0,IF($G426&gt;-D361,-D155*($C491-0.5)/(1+AVERAGE('Vedlegg 1 - Rentekurve'!$D22:D23))*(-D361)*0.1,-D155*($C491-0.5)/(1+AVERAGE('Vedlegg 1 - Rentekurve'!$D22:D23))*$G426*0.1),0)</f>
        <v>0</v>
      </c>
      <c r="E491" s="274">
        <f>IF(E361&lt;0,IF($G426&gt;-E361,-E155*($C491-0.5)/(1+AVERAGE('Vedlegg 1 - Rentekurve'!$D22:D23))*(-E361)*0.5,-E155*($C491-0.5)/(1+AVERAGE('Vedlegg 1 - Rentekurve'!$D22:D23))*$G426*0.5),0)</f>
        <v>0</v>
      </c>
      <c r="F491" s="274">
        <f>IF(F361&lt;0,IF($G426&gt;-F361,-F155*($C491-0.5)/(1+AVERAGE('Vedlegg 1 - Rentekurve'!$D22:D23))*(-F361)-F155*($C491-0.5)/(1+AVERAGE('Vedlegg 1 - Rentekurve'!$D22:D23))*(F361+$G426)*0.2,-F155*($C491-0.5)/(1+AVERAGE('Vedlegg 1 - Rentekurve'!$D22:D23))*$G426),-F155*($C491-0.5)/(1+AVERAGE('Vedlegg 1 - Rentekurve'!$D22:D23))*$G426*0.2)</f>
        <v>0</v>
      </c>
      <c r="G491" s="33"/>
      <c r="H491" s="33"/>
      <c r="I491" s="37"/>
    </row>
    <row r="492" spans="1:9" ht="12.75" customHeight="1">
      <c r="A492" s="32"/>
      <c r="B492" s="33"/>
      <c r="C492" s="35">
        <v>15</v>
      </c>
      <c r="D492" s="274">
        <f>IF(D362&lt;0,IF($G427&gt;-D362,-D156*($C492-0.5)/(1+AVERAGE('Vedlegg 1 - Rentekurve'!$D23:D24))*(-D362)*0.1,-D156*($C492-0.5)/(1+AVERAGE('Vedlegg 1 - Rentekurve'!$D23:D24))*$G427*0.1),0)</f>
        <v>0</v>
      </c>
      <c r="E492" s="274">
        <f>IF(E362&lt;0,IF($G427&gt;-E362,-E156*($C492-0.5)/(1+AVERAGE('Vedlegg 1 - Rentekurve'!$D23:D24))*(-E362)*0.5,-E156*($C492-0.5)/(1+AVERAGE('Vedlegg 1 - Rentekurve'!$D23:D24))*$G427*0.5),0)</f>
        <v>0</v>
      </c>
      <c r="F492" s="274">
        <f>IF(F362&lt;0,IF($G427&gt;-F362,-F156*($C492-0.5)/(1+AVERAGE('Vedlegg 1 - Rentekurve'!$D23:D24))*(-F362)-F156*($C492-0.5)/(1+AVERAGE('Vedlegg 1 - Rentekurve'!$D23:D24))*(F362+$G427)*0.2,-F156*($C492-0.5)/(1+AVERAGE('Vedlegg 1 - Rentekurve'!$D23:D24))*$G427),-F156*($C492-0.5)/(1+AVERAGE('Vedlegg 1 - Rentekurve'!$D23:D24))*$G427*0.2)</f>
        <v>0</v>
      </c>
      <c r="G492" s="33"/>
      <c r="H492" s="33"/>
      <c r="I492" s="37"/>
    </row>
    <row r="493" spans="1:9" ht="12.75" customHeight="1">
      <c r="A493" s="32"/>
      <c r="B493" s="33"/>
      <c r="C493" s="35">
        <v>16</v>
      </c>
      <c r="D493" s="274">
        <f>IF(D363&lt;0,IF($G428&gt;-D363,-D157*($C493-0.5)/(1+AVERAGE('Vedlegg 1 - Rentekurve'!$D24:D25))*(-D363)*0.1,-D157*($C493-0.5)/(1+AVERAGE('Vedlegg 1 - Rentekurve'!$D24:D25))*$G428*0.1),0)</f>
        <v>0</v>
      </c>
      <c r="E493" s="274">
        <f>IF(E363&lt;0,IF($G428&gt;-E363,-E157*($C493-0.5)/(1+AVERAGE('Vedlegg 1 - Rentekurve'!$D24:D25))*(-E363)*0.5,-E157*($C493-0.5)/(1+AVERAGE('Vedlegg 1 - Rentekurve'!$D24:D25))*$G428*0.5),0)</f>
        <v>0</v>
      </c>
      <c r="F493" s="274">
        <f>IF(F363&lt;0,IF($G428&gt;-F363,-F157*($C493-0.5)/(1+AVERAGE('Vedlegg 1 - Rentekurve'!$D24:D25))*(-F363)-F157*($C493-0.5)/(1+AVERAGE('Vedlegg 1 - Rentekurve'!$D24:D25))*(F363+$G428)*0.2,-F157*($C493-0.5)/(1+AVERAGE('Vedlegg 1 - Rentekurve'!$D24:D25))*$G428),-F157*($C493-0.5)/(1+AVERAGE('Vedlegg 1 - Rentekurve'!$D24:D25))*$G428*0.2)</f>
        <v>0</v>
      </c>
      <c r="G493" s="33"/>
      <c r="H493" s="33"/>
      <c r="I493" s="37"/>
    </row>
    <row r="494" spans="1:9" ht="12.75" customHeight="1">
      <c r="A494" s="32"/>
      <c r="B494" s="33"/>
      <c r="C494" s="35">
        <v>17</v>
      </c>
      <c r="D494" s="274">
        <f>IF(D364&lt;0,IF($G429&gt;-D364,-D158*($C494-0.5)/(1+AVERAGE('Vedlegg 1 - Rentekurve'!$D25:D26))*(-D364)*0.1,-D158*($C494-0.5)/(1+AVERAGE('Vedlegg 1 - Rentekurve'!$D25:D26))*$G429*0.1),0)</f>
        <v>0</v>
      </c>
      <c r="E494" s="274">
        <f>IF(E364&lt;0,IF($G429&gt;-E364,-E158*($C494-0.5)/(1+AVERAGE('Vedlegg 1 - Rentekurve'!$D25:D26))*(-E364)*0.5,-E158*($C494-0.5)/(1+AVERAGE('Vedlegg 1 - Rentekurve'!$D25:D26))*$G429*0.5),0)</f>
        <v>0</v>
      </c>
      <c r="F494" s="274">
        <f>IF(F364&lt;0,IF($G429&gt;-F364,-F158*($C494-0.5)/(1+AVERAGE('Vedlegg 1 - Rentekurve'!$D25:D26))*(-F364)-F158*($C494-0.5)/(1+AVERAGE('Vedlegg 1 - Rentekurve'!$D25:D26))*(F364+$G429)*0.2,-F158*($C494-0.5)/(1+AVERAGE('Vedlegg 1 - Rentekurve'!$D25:D26))*$G429),-F158*($C494-0.5)/(1+AVERAGE('Vedlegg 1 - Rentekurve'!$D25:D26))*$G429*0.2)</f>
        <v>0</v>
      </c>
      <c r="G494" s="33"/>
      <c r="H494" s="33"/>
      <c r="I494" s="37"/>
    </row>
    <row r="495" spans="1:9" ht="12.75" customHeight="1">
      <c r="A495" s="32"/>
      <c r="B495" s="33"/>
      <c r="C495" s="35">
        <v>18</v>
      </c>
      <c r="D495" s="274">
        <f>IF(D365&lt;0,IF($G430&gt;-D365,-D159*($C495-0.5)/(1+AVERAGE('Vedlegg 1 - Rentekurve'!$D26:D27))*(-D365)*0.1,-D159*($C495-0.5)/(1+AVERAGE('Vedlegg 1 - Rentekurve'!$D26:D27))*$G430*0.1),0)</f>
        <v>0</v>
      </c>
      <c r="E495" s="274">
        <f>IF(E365&lt;0,IF($G430&gt;-E365,-E159*($C495-0.5)/(1+AVERAGE('Vedlegg 1 - Rentekurve'!$D26:D27))*(-E365)*0.5,-E159*($C495-0.5)/(1+AVERAGE('Vedlegg 1 - Rentekurve'!$D26:D27))*$G430*0.5),0)</f>
        <v>0</v>
      </c>
      <c r="F495" s="274">
        <f>IF(F365&lt;0,IF($G430&gt;-F365,-F159*($C495-0.5)/(1+AVERAGE('Vedlegg 1 - Rentekurve'!$D26:D27))*(-F365)-F159*($C495-0.5)/(1+AVERAGE('Vedlegg 1 - Rentekurve'!$D26:D27))*(F365+$G430)*0.2,-F159*($C495-0.5)/(1+AVERAGE('Vedlegg 1 - Rentekurve'!$D26:D27))*$G430),-F159*($C495-0.5)/(1+AVERAGE('Vedlegg 1 - Rentekurve'!$D26:D27))*$G430*0.2)</f>
        <v>0</v>
      </c>
      <c r="G495" s="33"/>
      <c r="H495" s="33"/>
      <c r="I495" s="37"/>
    </row>
    <row r="496" spans="1:9" ht="12.75" customHeight="1">
      <c r="A496" s="32"/>
      <c r="B496" s="33"/>
      <c r="C496" s="35">
        <v>19</v>
      </c>
      <c r="D496" s="274">
        <f>IF(D366&lt;0,IF($G431&gt;-D366,-D160*($C496-0.5)/(1+AVERAGE('Vedlegg 1 - Rentekurve'!$D27:D28))*(-D366)*0.1,-D160*($C496-0.5)/(1+AVERAGE('Vedlegg 1 - Rentekurve'!$D27:D28))*$G431*0.1),0)</f>
        <v>0</v>
      </c>
      <c r="E496" s="274">
        <f>IF(E366&lt;0,IF($G431&gt;-E366,-E160*($C496-0.5)/(1+AVERAGE('Vedlegg 1 - Rentekurve'!$D27:D28))*(-E366)*0.5,-E160*($C496-0.5)/(1+AVERAGE('Vedlegg 1 - Rentekurve'!$D27:D28))*$G431*0.5),0)</f>
        <v>0</v>
      </c>
      <c r="F496" s="274">
        <f>IF(F366&lt;0,IF($G431&gt;-F366,-F160*($C496-0.5)/(1+AVERAGE('Vedlegg 1 - Rentekurve'!$D27:D28))*(-F366)-F160*($C496-0.5)/(1+AVERAGE('Vedlegg 1 - Rentekurve'!$D27:D28))*(F366+$G431)*0.2,-F160*($C496-0.5)/(1+AVERAGE('Vedlegg 1 - Rentekurve'!$D27:D28))*$G431),-F160*($C496-0.5)/(1+AVERAGE('Vedlegg 1 - Rentekurve'!$D27:D28))*$G431*0.2)</f>
        <v>0</v>
      </c>
      <c r="G496" s="33"/>
      <c r="H496" s="33"/>
      <c r="I496" s="37"/>
    </row>
    <row r="497" spans="1:9" ht="12.75" customHeight="1">
      <c r="A497" s="32"/>
      <c r="B497" s="33"/>
      <c r="C497" s="35">
        <v>20</v>
      </c>
      <c r="D497" s="274">
        <f>IF(D367&lt;0,IF($G432&gt;-D367,-D161*($C497-0.5)/(1+AVERAGE('Vedlegg 1 - Rentekurve'!$D28:D29))*(-D367)*0.1,-D161*($C497-0.5)/(1+AVERAGE('Vedlegg 1 - Rentekurve'!$D28:D29))*$G432*0.1),0)</f>
        <v>0</v>
      </c>
      <c r="E497" s="274">
        <f>IF(E367&lt;0,IF($G432&gt;-E367,-E161*($C497-0.5)/(1+AVERAGE('Vedlegg 1 - Rentekurve'!$D28:D29))*(-E367)*0.5,-E161*($C497-0.5)/(1+AVERAGE('Vedlegg 1 - Rentekurve'!$D28:D29))*$G432*0.5),0)</f>
        <v>0</v>
      </c>
      <c r="F497" s="274">
        <f>IF(F367&lt;0,IF($G432&gt;-F367,-F161*($C497-0.5)/(1+AVERAGE('Vedlegg 1 - Rentekurve'!$D28:D29))*(-F367)-F161*($C497-0.5)/(1+AVERAGE('Vedlegg 1 - Rentekurve'!$D28:D29))*(F367+$G432)*0.2,-F161*($C497-0.5)/(1+AVERAGE('Vedlegg 1 - Rentekurve'!$D28:D29))*$G432),-F161*($C497-0.5)/(1+AVERAGE('Vedlegg 1 - Rentekurve'!$D28:D29))*$G432*0.2)</f>
        <v>0</v>
      </c>
      <c r="G497" s="33"/>
      <c r="H497" s="33"/>
      <c r="I497" s="37"/>
    </row>
    <row r="498" spans="1:9" ht="12.75" customHeight="1">
      <c r="A498" s="32"/>
      <c r="B498" s="33"/>
      <c r="C498" s="35">
        <v>21</v>
      </c>
      <c r="D498" s="274">
        <f>IF(D368&lt;0,IF($G433&gt;-D368,-D162*($C498-0.5)/(1+AVERAGE('Vedlegg 1 - Rentekurve'!$D29:D30))*(-D368)*0.1,-D162*($C498-0.5)/(1+AVERAGE('Vedlegg 1 - Rentekurve'!$D29:D30))*$G433*0.1),0)</f>
        <v>0</v>
      </c>
      <c r="E498" s="274">
        <f>IF(E368&lt;0,IF($G433&gt;-E368,-E162*($C498-0.5)/(1+AVERAGE('Vedlegg 1 - Rentekurve'!$D29:D30))*(-E368)*0.5,-E162*($C498-0.5)/(1+AVERAGE('Vedlegg 1 - Rentekurve'!$D29:D30))*$G433*0.5),0)</f>
        <v>0</v>
      </c>
      <c r="F498" s="274">
        <f>IF(F368&lt;0,IF($G433&gt;-F368,-F162*($C498-0.5)/(1+AVERAGE('Vedlegg 1 - Rentekurve'!$D29:D30))*(-F368)-F162*($C498-0.5)/(1+AVERAGE('Vedlegg 1 - Rentekurve'!$D29:D30))*(F368+$G433)*0.2,-F162*($C498-0.5)/(1+AVERAGE('Vedlegg 1 - Rentekurve'!$D29:D30))*$G433),-F162*($C498-0.5)/(1+AVERAGE('Vedlegg 1 - Rentekurve'!$D29:D30))*$G433*0.2)</f>
        <v>0</v>
      </c>
      <c r="G498" s="33"/>
      <c r="H498" s="33"/>
      <c r="I498" s="37"/>
    </row>
    <row r="499" spans="1:9" ht="12.75" customHeight="1">
      <c r="A499" s="32"/>
      <c r="B499" s="33"/>
      <c r="C499" s="35">
        <v>22</v>
      </c>
      <c r="D499" s="274">
        <f>IF(D369&lt;0,IF($G434&gt;-D369,-D163*($C499-0.5)/(1+AVERAGE('Vedlegg 1 - Rentekurve'!$D30:D31))*(-D369)*0.1,-D163*($C499-0.5)/(1+AVERAGE('Vedlegg 1 - Rentekurve'!$D30:D31))*$G434*0.1),0)</f>
        <v>0</v>
      </c>
      <c r="E499" s="274">
        <f>IF(E369&lt;0,IF($G434&gt;-E369,-E163*($C499-0.5)/(1+AVERAGE('Vedlegg 1 - Rentekurve'!$D30:D31))*(-E369)*0.5,-E163*($C499-0.5)/(1+AVERAGE('Vedlegg 1 - Rentekurve'!$D30:D31))*$G434*0.5),0)</f>
        <v>0</v>
      </c>
      <c r="F499" s="274">
        <f>IF(F369&lt;0,IF($G434&gt;-F369,-F163*($C499-0.5)/(1+AVERAGE('Vedlegg 1 - Rentekurve'!$D30:D31))*(-F369)-F163*($C499-0.5)/(1+AVERAGE('Vedlegg 1 - Rentekurve'!$D30:D31))*(F369+$G434)*0.2,-F163*($C499-0.5)/(1+AVERAGE('Vedlegg 1 - Rentekurve'!$D30:D31))*$G434),-F163*($C499-0.5)/(1+AVERAGE('Vedlegg 1 - Rentekurve'!$D30:D31))*$G434*0.2)</f>
        <v>0</v>
      </c>
      <c r="G499" s="33"/>
      <c r="H499" s="33"/>
      <c r="I499" s="37"/>
    </row>
    <row r="500" spans="1:9" ht="12.75" customHeight="1">
      <c r="A500" s="32"/>
      <c r="B500" s="33"/>
      <c r="C500" s="35">
        <v>23</v>
      </c>
      <c r="D500" s="274">
        <f>IF(D370&lt;0,IF($G435&gt;-D370,-D164*($C500-0.5)/(1+AVERAGE('Vedlegg 1 - Rentekurve'!$D31:D32))*(-D370)*0.1,-D164*($C500-0.5)/(1+AVERAGE('Vedlegg 1 - Rentekurve'!$D31:D32))*$G435*0.1),0)</f>
        <v>0</v>
      </c>
      <c r="E500" s="274">
        <f>IF(E370&lt;0,IF($G435&gt;-E370,-E164*($C500-0.5)/(1+AVERAGE('Vedlegg 1 - Rentekurve'!$D31:D32))*(-E370)*0.5,-E164*($C500-0.5)/(1+AVERAGE('Vedlegg 1 - Rentekurve'!$D31:D32))*$G435*0.5),0)</f>
        <v>0</v>
      </c>
      <c r="F500" s="274">
        <f>IF(F370&lt;0,IF($G435&gt;-F370,-F164*($C500-0.5)/(1+AVERAGE('Vedlegg 1 - Rentekurve'!$D31:D32))*(-F370)-F164*($C500-0.5)/(1+AVERAGE('Vedlegg 1 - Rentekurve'!$D31:D32))*(F370+$G435)*0.2,-F164*($C500-0.5)/(1+AVERAGE('Vedlegg 1 - Rentekurve'!$D31:D32))*$G435),-F164*($C500-0.5)/(1+AVERAGE('Vedlegg 1 - Rentekurve'!$D31:D32))*$G435*0.2)</f>
        <v>0</v>
      </c>
      <c r="G500" s="33"/>
      <c r="H500" s="33"/>
      <c r="I500" s="37"/>
    </row>
    <row r="501" spans="1:9" ht="12.75" customHeight="1">
      <c r="A501" s="32"/>
      <c r="B501" s="33"/>
      <c r="C501" s="35">
        <v>24</v>
      </c>
      <c r="D501" s="274">
        <f>IF(D371&lt;0,IF($G436&gt;-D371,-D165*($C501-0.5)/(1+AVERAGE('Vedlegg 1 - Rentekurve'!$D32:D33))*(-D371)*0.1,-D165*($C501-0.5)/(1+AVERAGE('Vedlegg 1 - Rentekurve'!$D32:D33))*$G436*0.1),0)</f>
        <v>0</v>
      </c>
      <c r="E501" s="274">
        <f>IF(E371&lt;0,IF($G436&gt;-E371,-E165*($C501-0.5)/(1+AVERAGE('Vedlegg 1 - Rentekurve'!$D32:D33))*(-E371)*0.5,-E165*($C501-0.5)/(1+AVERAGE('Vedlegg 1 - Rentekurve'!$D32:D33))*$G436*0.5),0)</f>
        <v>0</v>
      </c>
      <c r="F501" s="274">
        <f>IF(F371&lt;0,IF($G436&gt;-F371,-F165*($C501-0.5)/(1+AVERAGE('Vedlegg 1 - Rentekurve'!$D32:D33))*(-F371)-F165*($C501-0.5)/(1+AVERAGE('Vedlegg 1 - Rentekurve'!$D32:D33))*(F371+$G436)*0.2,-F165*($C501-0.5)/(1+AVERAGE('Vedlegg 1 - Rentekurve'!$D32:D33))*$G436),-F165*($C501-0.5)/(1+AVERAGE('Vedlegg 1 - Rentekurve'!$D32:D33))*$G436*0.2)</f>
        <v>0</v>
      </c>
      <c r="G501" s="33"/>
      <c r="H501" s="33"/>
      <c r="I501" s="37"/>
    </row>
    <row r="502" spans="1:9" ht="12.75" customHeight="1">
      <c r="A502" s="32"/>
      <c r="B502" s="33"/>
      <c r="C502" s="35">
        <v>25</v>
      </c>
      <c r="D502" s="274">
        <f>IF(D372&lt;0,IF($G437&gt;-D372,-D166*($C502-0.5)/(1+AVERAGE('Vedlegg 1 - Rentekurve'!$D33:D34))*(-D372)*0.1,-D166*($C502-0.5)/(1+AVERAGE('Vedlegg 1 - Rentekurve'!$D33:D34))*$G437*0.1),0)</f>
        <v>0</v>
      </c>
      <c r="E502" s="274">
        <f>IF(E372&lt;0,IF($G437&gt;-E372,-E166*($C502-0.5)/(1+AVERAGE('Vedlegg 1 - Rentekurve'!$D33:D34))*(-E372)*0.5,-E166*($C502-0.5)/(1+AVERAGE('Vedlegg 1 - Rentekurve'!$D33:D34))*$G437*0.5),0)</f>
        <v>0</v>
      </c>
      <c r="F502" s="274">
        <f>IF(F372&lt;0,IF($G437&gt;-F372,-F166*($C502-0.5)/(1+AVERAGE('Vedlegg 1 - Rentekurve'!$D33:D34))*(-F372)-F166*($C502-0.5)/(1+AVERAGE('Vedlegg 1 - Rentekurve'!$D33:D34))*(F372+$G437)*0.2,-F166*($C502-0.5)/(1+AVERAGE('Vedlegg 1 - Rentekurve'!$D33:D34))*$G437),-F166*($C502-0.5)/(1+AVERAGE('Vedlegg 1 - Rentekurve'!$D33:D34))*$G437*0.2)</f>
        <v>0</v>
      </c>
      <c r="G502" s="33"/>
      <c r="H502" s="33"/>
      <c r="I502" s="37"/>
    </row>
    <row r="503" spans="1:9" ht="12.75" customHeight="1">
      <c r="A503" s="32"/>
      <c r="B503" s="33"/>
      <c r="C503" s="35">
        <v>26</v>
      </c>
      <c r="D503" s="274">
        <f>IF(D373&lt;0,IF($G438&gt;-D373,-D167*($C503-0.5)/(1+AVERAGE('Vedlegg 1 - Rentekurve'!$D34:D35))*(-D373)*0.1,-D167*($C503-0.5)/(1+AVERAGE('Vedlegg 1 - Rentekurve'!$D34:D35))*$G438*0.1),0)</f>
        <v>0</v>
      </c>
      <c r="E503" s="274">
        <f>IF(E373&lt;0,IF($G438&gt;-E373,-E167*($C503-0.5)/(1+AVERAGE('Vedlegg 1 - Rentekurve'!$D34:D35))*(-E373)*0.5,-E167*($C503-0.5)/(1+AVERAGE('Vedlegg 1 - Rentekurve'!$D34:D35))*$G438*0.5),0)</f>
        <v>0</v>
      </c>
      <c r="F503" s="274">
        <f>IF(F373&lt;0,IF($G438&gt;-F373,-F167*($C503-0.5)/(1+AVERAGE('Vedlegg 1 - Rentekurve'!$D34:D35))*(-F373)-F167*($C503-0.5)/(1+AVERAGE('Vedlegg 1 - Rentekurve'!$D34:D35))*(F373+$G438)*0.2,-F167*($C503-0.5)/(1+AVERAGE('Vedlegg 1 - Rentekurve'!$D34:D35))*$G438),-F167*($C503-0.5)/(1+AVERAGE('Vedlegg 1 - Rentekurve'!$D34:D35))*$G438*0.2)</f>
        <v>0</v>
      </c>
      <c r="G503" s="33"/>
      <c r="H503" s="33"/>
      <c r="I503" s="37"/>
    </row>
    <row r="504" spans="1:9" ht="12.75" customHeight="1">
      <c r="A504" s="32"/>
      <c r="B504" s="33"/>
      <c r="C504" s="35">
        <v>27</v>
      </c>
      <c r="D504" s="274">
        <f>IF(D374&lt;0,IF($G439&gt;-D374,-D168*($C504-0.5)/(1+AVERAGE('Vedlegg 1 - Rentekurve'!$D35:D36))*(-D374)*0.1,-D168*($C504-0.5)/(1+AVERAGE('Vedlegg 1 - Rentekurve'!$D35:D36))*$G439*0.1),0)</f>
        <v>0</v>
      </c>
      <c r="E504" s="274">
        <f>IF(E374&lt;0,IF($G439&gt;-E374,-E168*($C504-0.5)/(1+AVERAGE('Vedlegg 1 - Rentekurve'!$D35:D36))*(-E374)*0.5,-E168*($C504-0.5)/(1+AVERAGE('Vedlegg 1 - Rentekurve'!$D35:D36))*$G439*0.5),0)</f>
        <v>0</v>
      </c>
      <c r="F504" s="274">
        <f>IF(F374&lt;0,IF($G439&gt;-F374,-F168*($C504-0.5)/(1+AVERAGE('Vedlegg 1 - Rentekurve'!$D35:D36))*(-F374)-F168*($C504-0.5)/(1+AVERAGE('Vedlegg 1 - Rentekurve'!$D35:D36))*(F374+$G439)*0.2,-F168*($C504-0.5)/(1+AVERAGE('Vedlegg 1 - Rentekurve'!$D35:D36))*$G439),-F168*($C504-0.5)/(1+AVERAGE('Vedlegg 1 - Rentekurve'!$D35:D36))*$G439*0.2)</f>
        <v>0</v>
      </c>
      <c r="G504" s="33"/>
      <c r="H504" s="33"/>
      <c r="I504" s="37"/>
    </row>
    <row r="505" spans="1:9" ht="12.75" customHeight="1">
      <c r="A505" s="32"/>
      <c r="B505" s="33"/>
      <c r="C505" s="35">
        <v>28</v>
      </c>
      <c r="D505" s="274">
        <f>IF(D375&lt;0,IF($G440&gt;-D375,-D169*($C505-0.5)/(1+AVERAGE('Vedlegg 1 - Rentekurve'!$D36:D37))*(-D375)*0.1,-D169*($C505-0.5)/(1+AVERAGE('Vedlegg 1 - Rentekurve'!$D36:D37))*$G440*0.1),0)</f>
        <v>0</v>
      </c>
      <c r="E505" s="274">
        <f>IF(E375&lt;0,IF($G440&gt;-E375,-E169*($C505-0.5)/(1+AVERAGE('Vedlegg 1 - Rentekurve'!$D36:D37))*(-E375)*0.5,-E169*($C505-0.5)/(1+AVERAGE('Vedlegg 1 - Rentekurve'!$D36:D37))*$G440*0.5),0)</f>
        <v>0</v>
      </c>
      <c r="F505" s="274">
        <f>IF(F375&lt;0,IF($G440&gt;-F375,-F169*($C505-0.5)/(1+AVERAGE('Vedlegg 1 - Rentekurve'!$D36:D37))*(-F375)-F169*($C505-0.5)/(1+AVERAGE('Vedlegg 1 - Rentekurve'!$D36:D37))*(F375+$G440)*0.2,-F169*($C505-0.5)/(1+AVERAGE('Vedlegg 1 - Rentekurve'!$D36:D37))*$G440),-F169*($C505-0.5)/(1+AVERAGE('Vedlegg 1 - Rentekurve'!$D36:D37))*$G440*0.2)</f>
        <v>0</v>
      </c>
      <c r="G505" s="33"/>
      <c r="H505" s="33"/>
      <c r="I505" s="37"/>
    </row>
    <row r="506" spans="1:9" ht="12.75" customHeight="1">
      <c r="A506" s="32"/>
      <c r="B506" s="33"/>
      <c r="C506" s="35">
        <v>29</v>
      </c>
      <c r="D506" s="274">
        <f>IF(D376&lt;0,IF($G441&gt;-D376,-D170*($C506-0.5)/(1+AVERAGE('Vedlegg 1 - Rentekurve'!$D37:D38))*(-D376)*0.1,-D170*($C506-0.5)/(1+AVERAGE('Vedlegg 1 - Rentekurve'!$D37:D38))*$G441*0.1),0)</f>
        <v>0</v>
      </c>
      <c r="E506" s="274">
        <f>IF(E376&lt;0,IF($G441&gt;-E376,-E170*($C506-0.5)/(1+AVERAGE('Vedlegg 1 - Rentekurve'!$D37:D38))*(-E376)*0.5,-E170*($C506-0.5)/(1+AVERAGE('Vedlegg 1 - Rentekurve'!$D37:D38))*$G441*0.5),0)</f>
        <v>0</v>
      </c>
      <c r="F506" s="274">
        <f>IF(F376&lt;0,IF($G441&gt;-F376,-F170*($C506-0.5)/(1+AVERAGE('Vedlegg 1 - Rentekurve'!$D37:D38))*(-F376)-F170*($C506-0.5)/(1+AVERAGE('Vedlegg 1 - Rentekurve'!$D37:D38))*(F376+$G441)*0.2,-F170*($C506-0.5)/(1+AVERAGE('Vedlegg 1 - Rentekurve'!$D37:D38))*$G441),-F170*($C506-0.5)/(1+AVERAGE('Vedlegg 1 - Rentekurve'!$D37:D38))*$G441*0.2)</f>
        <v>0</v>
      </c>
      <c r="G506" s="33"/>
      <c r="H506" s="33"/>
      <c r="I506" s="37"/>
    </row>
    <row r="507" spans="1:9" ht="12.75" customHeight="1">
      <c r="A507" s="32"/>
      <c r="B507" s="33"/>
      <c r="C507" s="35">
        <v>30</v>
      </c>
      <c r="D507" s="274">
        <f>IF(D377&lt;0,IF($G442&gt;-D377,-D171*($C507-0.5)/(1+AVERAGE('Vedlegg 1 - Rentekurve'!$D38:D39))*(-D377)*0.1,-D171*($C507-0.5)/(1+AVERAGE('Vedlegg 1 - Rentekurve'!$D38:D39))*$G442*0.1),0)</f>
        <v>0</v>
      </c>
      <c r="E507" s="274">
        <f>IF(E377&lt;0,IF($G442&gt;-E377,-E171*($C507-0.5)/(1+AVERAGE('Vedlegg 1 - Rentekurve'!$D38:D39))*(-E377)*0.5,-E171*($C507-0.5)/(1+AVERAGE('Vedlegg 1 - Rentekurve'!$D38:D39))*$G442*0.5),0)</f>
        <v>0</v>
      </c>
      <c r="F507" s="274">
        <f>IF(F377&lt;0,IF($G442&gt;-F377,-F171*($C507-0.5)/(1+AVERAGE('Vedlegg 1 - Rentekurve'!$D38:D39))*(-F377)-F171*($C507-0.5)/(1+AVERAGE('Vedlegg 1 - Rentekurve'!$D38:D39))*(F377+$G442)*0.2,-F171*($C507-0.5)/(1+AVERAGE('Vedlegg 1 - Rentekurve'!$D38:D39))*$G442),-F171*($C507-0.5)/(1+AVERAGE('Vedlegg 1 - Rentekurve'!$D38:D39))*$G442*0.2)</f>
        <v>0</v>
      </c>
      <c r="G507" s="33"/>
      <c r="H507" s="33"/>
      <c r="I507" s="37"/>
    </row>
    <row r="508" spans="1:9" ht="12.75" customHeight="1">
      <c r="A508" s="32"/>
      <c r="B508" s="33"/>
      <c r="C508" s="35">
        <v>31</v>
      </c>
      <c r="D508" s="274">
        <f>IF(D378&lt;0,IF($G443&gt;-D378,-D172*($C508-0.5)/(1+AVERAGE('Vedlegg 1 - Rentekurve'!$D39:D40))*(-D378)*0.1,-D172*($C508-0.5)/(1+AVERAGE('Vedlegg 1 - Rentekurve'!$D39:D40))*$G443*0.1),0)</f>
        <v>0</v>
      </c>
      <c r="E508" s="274">
        <f>IF(E378&lt;0,IF($G443&gt;-E378,-E172*($C508-0.5)/(1+AVERAGE('Vedlegg 1 - Rentekurve'!$D39:D40))*(-E378)*0.5,-E172*($C508-0.5)/(1+AVERAGE('Vedlegg 1 - Rentekurve'!$D39:D40))*$G443*0.5),0)</f>
        <v>0</v>
      </c>
      <c r="F508" s="274">
        <f>IF(F378&lt;0,IF($G443&gt;-F378,-F172*($C508-0.5)/(1+AVERAGE('Vedlegg 1 - Rentekurve'!$D39:D40))*(-F378)-F172*($C508-0.5)/(1+AVERAGE('Vedlegg 1 - Rentekurve'!$D39:D40))*(F378+$G443)*0.2,-F172*($C508-0.5)/(1+AVERAGE('Vedlegg 1 - Rentekurve'!$D39:D40))*$G443),-F172*($C508-0.5)/(1+AVERAGE('Vedlegg 1 - Rentekurve'!$D39:D40))*$G443*0.2)</f>
        <v>0</v>
      </c>
      <c r="G508" s="33"/>
      <c r="H508" s="33"/>
      <c r="I508" s="37"/>
    </row>
    <row r="509" spans="1:9" ht="12.75" customHeight="1">
      <c r="A509" s="32"/>
      <c r="B509" s="33"/>
      <c r="C509" s="35">
        <v>32</v>
      </c>
      <c r="D509" s="274">
        <f>IF(D379&lt;0,IF($G444&gt;-D379,-D173*($C509-0.5)/(1+AVERAGE('Vedlegg 1 - Rentekurve'!$D40:D41))*(-D379)*0.1,-D173*($C509-0.5)/(1+AVERAGE('Vedlegg 1 - Rentekurve'!$D40:D41))*$G444*0.1),0)</f>
        <v>0</v>
      </c>
      <c r="E509" s="274">
        <f>IF(E379&lt;0,IF($G444&gt;-E379,-E173*($C509-0.5)/(1+AVERAGE('Vedlegg 1 - Rentekurve'!$D40:D41))*(-E379)*0.5,-E173*($C509-0.5)/(1+AVERAGE('Vedlegg 1 - Rentekurve'!$D40:D41))*$G444*0.5),0)</f>
        <v>0</v>
      </c>
      <c r="F509" s="274">
        <f>IF(F379&lt;0,IF($G444&gt;-F379,-F173*($C509-0.5)/(1+AVERAGE('Vedlegg 1 - Rentekurve'!$D40:D41))*(-F379)-F173*($C509-0.5)/(1+AVERAGE('Vedlegg 1 - Rentekurve'!$D40:D41))*(F379+$G444)*0.2,-F173*($C509-0.5)/(1+AVERAGE('Vedlegg 1 - Rentekurve'!$D40:D41))*$G444),-F173*($C509-0.5)/(1+AVERAGE('Vedlegg 1 - Rentekurve'!$D40:D41))*$G444*0.2)</f>
        <v>0</v>
      </c>
      <c r="G509" s="33"/>
      <c r="H509" s="33"/>
      <c r="I509" s="37"/>
    </row>
    <row r="510" spans="1:9" ht="12.75" customHeight="1">
      <c r="A510" s="32"/>
      <c r="B510" s="33"/>
      <c r="C510" s="35">
        <v>33</v>
      </c>
      <c r="D510" s="274">
        <f>IF(D380&lt;0,IF($G445&gt;-D380,-D174*($C510-0.5)/(1+AVERAGE('Vedlegg 1 - Rentekurve'!$D41:D42))*(-D380)*0.1,-D174*($C510-0.5)/(1+AVERAGE('Vedlegg 1 - Rentekurve'!$D41:D42))*$G445*0.1),0)</f>
        <v>0</v>
      </c>
      <c r="E510" s="274">
        <f>IF(E380&lt;0,IF($G445&gt;-E380,-E174*($C510-0.5)/(1+AVERAGE('Vedlegg 1 - Rentekurve'!$D41:D42))*(-E380)*0.5,-E174*($C510-0.5)/(1+AVERAGE('Vedlegg 1 - Rentekurve'!$D41:D42))*$G445*0.5),0)</f>
        <v>0</v>
      </c>
      <c r="F510" s="274">
        <f>IF(F380&lt;0,IF($G445&gt;-F380,-F174*($C510-0.5)/(1+AVERAGE('Vedlegg 1 - Rentekurve'!$D41:D42))*(-F380)-F174*($C510-0.5)/(1+AVERAGE('Vedlegg 1 - Rentekurve'!$D41:D42))*(F380+$G445)*0.2,-F174*($C510-0.5)/(1+AVERAGE('Vedlegg 1 - Rentekurve'!$D41:D42))*$G445),-F174*($C510-0.5)/(1+AVERAGE('Vedlegg 1 - Rentekurve'!$D41:D42))*$G445*0.2)</f>
        <v>0</v>
      </c>
      <c r="G510" s="33"/>
      <c r="H510" s="33"/>
      <c r="I510" s="37"/>
    </row>
    <row r="511" spans="1:9" ht="12.75" customHeight="1">
      <c r="A511" s="32"/>
      <c r="B511" s="33"/>
      <c r="C511" s="35">
        <v>34</v>
      </c>
      <c r="D511" s="274">
        <f>IF(D381&lt;0,IF($G446&gt;-D381,-D175*($C511-0.5)/(1+AVERAGE('Vedlegg 1 - Rentekurve'!$D42:D43))*(-D381)*0.1,-D175*($C511-0.5)/(1+AVERAGE('Vedlegg 1 - Rentekurve'!$D42:D43))*$G446*0.1),0)</f>
        <v>0</v>
      </c>
      <c r="E511" s="274">
        <f>IF(E381&lt;0,IF($G446&gt;-E381,-E175*($C511-0.5)/(1+AVERAGE('Vedlegg 1 - Rentekurve'!$D42:D43))*(-E381)*0.5,-E175*($C511-0.5)/(1+AVERAGE('Vedlegg 1 - Rentekurve'!$D42:D43))*$G446*0.5),0)</f>
        <v>0</v>
      </c>
      <c r="F511" s="274">
        <f>IF(F381&lt;0,IF($G446&gt;-F381,-F175*($C511-0.5)/(1+AVERAGE('Vedlegg 1 - Rentekurve'!$D42:D43))*(-F381)-F175*($C511-0.5)/(1+AVERAGE('Vedlegg 1 - Rentekurve'!$D42:D43))*(F381+$G446)*0.2,-F175*($C511-0.5)/(1+AVERAGE('Vedlegg 1 - Rentekurve'!$D42:D43))*$G446),-F175*($C511-0.5)/(1+AVERAGE('Vedlegg 1 - Rentekurve'!$D42:D43))*$G446*0.2)</f>
        <v>0</v>
      </c>
      <c r="G511" s="33"/>
      <c r="H511" s="33"/>
      <c r="I511" s="37"/>
    </row>
    <row r="512" spans="1:9" ht="12.75" customHeight="1">
      <c r="A512" s="32"/>
      <c r="B512" s="33"/>
      <c r="C512" s="35">
        <v>35</v>
      </c>
      <c r="D512" s="274">
        <f>IF(D382&lt;0,IF($G447&gt;-D382,-D176*($C512-0.5)/(1+AVERAGE('Vedlegg 1 - Rentekurve'!$D43:D44))*(-D382)*0.1,-D176*($C512-0.5)/(1+AVERAGE('Vedlegg 1 - Rentekurve'!$D43:D44))*$G447*0.1),0)</f>
        <v>0</v>
      </c>
      <c r="E512" s="274">
        <f>IF(E382&lt;0,IF($G447&gt;-E382,-E176*($C512-0.5)/(1+AVERAGE('Vedlegg 1 - Rentekurve'!$D43:D44))*(-E382)*0.5,-E176*($C512-0.5)/(1+AVERAGE('Vedlegg 1 - Rentekurve'!$D43:D44))*$G447*0.5),0)</f>
        <v>0</v>
      </c>
      <c r="F512" s="274">
        <f>IF(F382&lt;0,IF($G447&gt;-F382,-F176*($C512-0.5)/(1+AVERAGE('Vedlegg 1 - Rentekurve'!$D43:D44))*(-F382)-F176*($C512-0.5)/(1+AVERAGE('Vedlegg 1 - Rentekurve'!$D43:D44))*(F382+$G447)*0.2,-F176*($C512-0.5)/(1+AVERAGE('Vedlegg 1 - Rentekurve'!$D43:D44))*$G447),-F176*($C512-0.5)/(1+AVERAGE('Vedlegg 1 - Rentekurve'!$D43:D44))*$G447*0.2)</f>
        <v>0</v>
      </c>
      <c r="G512" s="33"/>
      <c r="H512" s="33"/>
      <c r="I512" s="37"/>
    </row>
    <row r="513" spans="1:9" ht="12.75" customHeight="1">
      <c r="A513" s="32"/>
      <c r="B513" s="33"/>
      <c r="C513" s="35">
        <v>36</v>
      </c>
      <c r="D513" s="274">
        <f>IF(D383&lt;0,IF($G448&gt;-D383,-D177*($C513-0.5)/(1+AVERAGE('Vedlegg 1 - Rentekurve'!$D44:D45))*(-D383)*0.1,-D177*($C513-0.5)/(1+AVERAGE('Vedlegg 1 - Rentekurve'!$D44:D45))*$G448*0.1),0)</f>
        <v>0</v>
      </c>
      <c r="E513" s="274">
        <f>IF(E383&lt;0,IF($G448&gt;-E383,-E177*($C513-0.5)/(1+AVERAGE('Vedlegg 1 - Rentekurve'!$D44:D45))*(-E383)*0.5,-E177*($C513-0.5)/(1+AVERAGE('Vedlegg 1 - Rentekurve'!$D44:D45))*$G448*0.5),0)</f>
        <v>0</v>
      </c>
      <c r="F513" s="274">
        <f>IF(F383&lt;0,IF($G448&gt;-F383,-F177*($C513-0.5)/(1+AVERAGE('Vedlegg 1 - Rentekurve'!$D44:D45))*(-F383)-F177*($C513-0.5)/(1+AVERAGE('Vedlegg 1 - Rentekurve'!$D44:D45))*(F383+$G448)*0.2,-F177*($C513-0.5)/(1+AVERAGE('Vedlegg 1 - Rentekurve'!$D44:D45))*$G448),-F177*($C513-0.5)/(1+AVERAGE('Vedlegg 1 - Rentekurve'!$D44:D45))*$G448*0.2)</f>
        <v>0</v>
      </c>
      <c r="G513" s="33"/>
      <c r="H513" s="33"/>
      <c r="I513" s="37"/>
    </row>
    <row r="514" spans="1:9" ht="12.75" customHeight="1">
      <c r="A514" s="32"/>
      <c r="B514" s="33"/>
      <c r="C514" s="35">
        <v>37</v>
      </c>
      <c r="D514" s="274">
        <f>IF(D384&lt;0,IF($G449&gt;-D384,-D178*($C514-0.5)/(1+AVERAGE('Vedlegg 1 - Rentekurve'!$D45:D46))*(-D384)*0.1,-D178*($C514-0.5)/(1+AVERAGE('Vedlegg 1 - Rentekurve'!$D45:D46))*$G449*0.1),0)</f>
        <v>0</v>
      </c>
      <c r="E514" s="274">
        <f>IF(E384&lt;0,IF($G449&gt;-E384,-E178*($C514-0.5)/(1+AVERAGE('Vedlegg 1 - Rentekurve'!$D45:D46))*(-E384)*0.5,-E178*($C514-0.5)/(1+AVERAGE('Vedlegg 1 - Rentekurve'!$D45:D46))*$G449*0.5),0)</f>
        <v>0</v>
      </c>
      <c r="F514" s="274">
        <f>IF(F384&lt;0,IF($G449&gt;-F384,-F178*($C514-0.5)/(1+AVERAGE('Vedlegg 1 - Rentekurve'!$D45:D46))*(-F384)-F178*($C514-0.5)/(1+AVERAGE('Vedlegg 1 - Rentekurve'!$D45:D46))*(F384+$G449)*0.2,-F178*($C514-0.5)/(1+AVERAGE('Vedlegg 1 - Rentekurve'!$D45:D46))*$G449),-F178*($C514-0.5)/(1+AVERAGE('Vedlegg 1 - Rentekurve'!$D45:D46))*$G449*0.2)</f>
        <v>0</v>
      </c>
      <c r="G514" s="33"/>
      <c r="H514" s="33"/>
      <c r="I514" s="37"/>
    </row>
    <row r="515" spans="1:9" ht="12.75" customHeight="1">
      <c r="A515" s="32"/>
      <c r="B515" s="33"/>
      <c r="C515" s="35">
        <v>38</v>
      </c>
      <c r="D515" s="274">
        <f>IF(D385&lt;0,IF($G450&gt;-D385,-D179*($C515-0.5)/(1+AVERAGE('Vedlegg 1 - Rentekurve'!$D46:D47))*(-D385)*0.1,-D179*($C515-0.5)/(1+AVERAGE('Vedlegg 1 - Rentekurve'!$D46:D47))*$G450*0.1),0)</f>
        <v>0</v>
      </c>
      <c r="E515" s="274">
        <f>IF(E385&lt;0,IF($G450&gt;-E385,-E179*($C515-0.5)/(1+AVERAGE('Vedlegg 1 - Rentekurve'!$D46:D47))*(-E385)*0.5,-E179*($C515-0.5)/(1+AVERAGE('Vedlegg 1 - Rentekurve'!$D46:D47))*$G450*0.5),0)</f>
        <v>0</v>
      </c>
      <c r="F515" s="274">
        <f>IF(F385&lt;0,IF($G450&gt;-F385,-F179*($C515-0.5)/(1+AVERAGE('Vedlegg 1 - Rentekurve'!$D46:D47))*(-F385)-F179*($C515-0.5)/(1+AVERAGE('Vedlegg 1 - Rentekurve'!$D46:D47))*(F385+$G450)*0.2,-F179*($C515-0.5)/(1+AVERAGE('Vedlegg 1 - Rentekurve'!$D46:D47))*$G450),-F179*($C515-0.5)/(1+AVERAGE('Vedlegg 1 - Rentekurve'!$D46:D47))*$G450*0.2)</f>
        <v>0</v>
      </c>
      <c r="G515" s="33"/>
      <c r="H515" s="33"/>
      <c r="I515" s="37"/>
    </row>
    <row r="516" spans="1:9" ht="12.75" customHeight="1">
      <c r="A516" s="32"/>
      <c r="B516" s="33"/>
      <c r="C516" s="35">
        <v>39</v>
      </c>
      <c r="D516" s="274">
        <f>IF(D386&lt;0,IF($G451&gt;-D386,-D180*($C516-0.5)/(1+AVERAGE('Vedlegg 1 - Rentekurve'!$D47:D48))*(-D386)*0.1,-D180*($C516-0.5)/(1+AVERAGE('Vedlegg 1 - Rentekurve'!$D47:D48))*$G451*0.1),0)</f>
        <v>0</v>
      </c>
      <c r="E516" s="274">
        <f>IF(E386&lt;0,IF($G451&gt;-E386,-E180*($C516-0.5)/(1+AVERAGE('Vedlegg 1 - Rentekurve'!$D47:D48))*(-E386)*0.5,-E180*($C516-0.5)/(1+AVERAGE('Vedlegg 1 - Rentekurve'!$D47:D48))*$G451*0.5),0)</f>
        <v>0</v>
      </c>
      <c r="F516" s="274">
        <f>IF(F386&lt;0,IF($G451&gt;-F386,-F180*($C516-0.5)/(1+AVERAGE('Vedlegg 1 - Rentekurve'!$D47:D48))*(-F386)-F180*($C516-0.5)/(1+AVERAGE('Vedlegg 1 - Rentekurve'!$D47:D48))*(F386+$G451)*0.2,-F180*($C516-0.5)/(1+AVERAGE('Vedlegg 1 - Rentekurve'!$D47:D48))*$G451),-F180*($C516-0.5)/(1+AVERAGE('Vedlegg 1 - Rentekurve'!$D47:D48))*$G451*0.2)</f>
        <v>0</v>
      </c>
      <c r="G516" s="33"/>
      <c r="H516" s="33"/>
      <c r="I516" s="37"/>
    </row>
    <row r="517" spans="1:9" ht="12.75" customHeight="1">
      <c r="A517" s="32"/>
      <c r="B517" s="33"/>
      <c r="C517" s="35">
        <v>40</v>
      </c>
      <c r="D517" s="274">
        <f>IF(D387&lt;0,IF($G452&gt;-D387,-D181*($C517-0.5)/(1+AVERAGE('Vedlegg 1 - Rentekurve'!$D48:D49))*(-D387)*0.1,-D181*($C517-0.5)/(1+AVERAGE('Vedlegg 1 - Rentekurve'!$D48:D49))*$G452*0.1),0)</f>
        <v>0</v>
      </c>
      <c r="E517" s="274">
        <f>IF(E387&lt;0,IF($G452&gt;-E387,-E181*($C517-0.5)/(1+AVERAGE('Vedlegg 1 - Rentekurve'!$D48:D49))*(-E387)*0.5,-E181*($C517-0.5)/(1+AVERAGE('Vedlegg 1 - Rentekurve'!$D48:D49))*$G452*0.5),0)</f>
        <v>0</v>
      </c>
      <c r="F517" s="274">
        <f>IF(F387&lt;0,IF($G452&gt;-F387,-F181*($C517-0.5)/(1+AVERAGE('Vedlegg 1 - Rentekurve'!$D48:D49))*(-F387)-F181*($C517-0.5)/(1+AVERAGE('Vedlegg 1 - Rentekurve'!$D48:D49))*(F387+$G452)*0.2,-F181*($C517-0.5)/(1+AVERAGE('Vedlegg 1 - Rentekurve'!$D48:D49))*$G452),-F181*($C517-0.5)/(1+AVERAGE('Vedlegg 1 - Rentekurve'!$D48:D49))*$G452*0.2)</f>
        <v>0</v>
      </c>
      <c r="G517" s="33"/>
      <c r="H517" s="33"/>
      <c r="I517" s="37"/>
    </row>
    <row r="518" spans="1:9" ht="12.75" customHeight="1">
      <c r="A518" s="32"/>
      <c r="B518" s="33"/>
      <c r="C518" s="35">
        <v>41</v>
      </c>
      <c r="D518" s="274">
        <f>IF(D388&lt;0,IF($G453&gt;-D388,-D182*($C518-0.5)/(1+AVERAGE('Vedlegg 1 - Rentekurve'!$D49:D50))*(-D388)*0.1,-D182*($C518-0.5)/(1+AVERAGE('Vedlegg 1 - Rentekurve'!$D49:D50))*$G453*0.1),0)</f>
        <v>0</v>
      </c>
      <c r="E518" s="274">
        <f>IF(E388&lt;0,IF($G453&gt;-E388,-E182*($C518-0.5)/(1+AVERAGE('Vedlegg 1 - Rentekurve'!$D49:D50))*(-E388)*0.5,-E182*($C518-0.5)/(1+AVERAGE('Vedlegg 1 - Rentekurve'!$D49:D50))*$G453*0.5),0)</f>
        <v>0</v>
      </c>
      <c r="F518" s="274">
        <f>IF(F388&lt;0,IF($G453&gt;-F388,-F182*($C518-0.5)/(1+AVERAGE('Vedlegg 1 - Rentekurve'!$D49:D50))*(-F388)-F182*($C518-0.5)/(1+AVERAGE('Vedlegg 1 - Rentekurve'!$D49:D50))*(F388+$G453)*0.2,-F182*($C518-0.5)/(1+AVERAGE('Vedlegg 1 - Rentekurve'!$D49:D50))*$G453),-F182*($C518-0.5)/(1+AVERAGE('Vedlegg 1 - Rentekurve'!$D49:D50))*$G453*0.2)</f>
        <v>0</v>
      </c>
      <c r="G518" s="33"/>
      <c r="H518" s="33"/>
      <c r="I518" s="37"/>
    </row>
    <row r="519" spans="1:9" ht="12.75" customHeight="1">
      <c r="A519" s="32"/>
      <c r="B519" s="33"/>
      <c r="C519" s="35">
        <v>42</v>
      </c>
      <c r="D519" s="274">
        <f>IF(D389&lt;0,IF($G454&gt;-D389,-D183*($C519-0.5)/(1+AVERAGE('Vedlegg 1 - Rentekurve'!$D50:D51))*(-D389)*0.1,-D183*($C519-0.5)/(1+AVERAGE('Vedlegg 1 - Rentekurve'!$D50:D51))*$G454*0.1),0)</f>
        <v>0</v>
      </c>
      <c r="E519" s="274">
        <f>IF(E389&lt;0,IF($G454&gt;-E389,-E183*($C519-0.5)/(1+AVERAGE('Vedlegg 1 - Rentekurve'!$D50:D51))*(-E389)*0.5,-E183*($C519-0.5)/(1+AVERAGE('Vedlegg 1 - Rentekurve'!$D50:D51))*$G454*0.5),0)</f>
        <v>0</v>
      </c>
      <c r="F519" s="274">
        <f>IF(F389&lt;0,IF($G454&gt;-F389,-F183*($C519-0.5)/(1+AVERAGE('Vedlegg 1 - Rentekurve'!$D50:D51))*(-F389)-F183*($C519-0.5)/(1+AVERAGE('Vedlegg 1 - Rentekurve'!$D50:D51))*(F389+$G454)*0.2,-F183*($C519-0.5)/(1+AVERAGE('Vedlegg 1 - Rentekurve'!$D50:D51))*$G454),-F183*($C519-0.5)/(1+AVERAGE('Vedlegg 1 - Rentekurve'!$D50:D51))*$G454*0.2)</f>
        <v>0</v>
      </c>
      <c r="G519" s="33"/>
      <c r="H519" s="33"/>
      <c r="I519" s="37"/>
    </row>
    <row r="520" spans="1:9" ht="12.75" customHeight="1">
      <c r="A520" s="32"/>
      <c r="B520" s="33"/>
      <c r="C520" s="35">
        <v>43</v>
      </c>
      <c r="D520" s="274">
        <f>IF(D390&lt;0,IF($G455&gt;-D390,-D184*($C520-0.5)/(1+AVERAGE('Vedlegg 1 - Rentekurve'!$D51:D52))*(-D390)*0.1,-D184*($C520-0.5)/(1+AVERAGE('Vedlegg 1 - Rentekurve'!$D51:D52))*$G455*0.1),0)</f>
        <v>0</v>
      </c>
      <c r="E520" s="274">
        <f>IF(E390&lt;0,IF($G455&gt;-E390,-E184*($C520-0.5)/(1+AVERAGE('Vedlegg 1 - Rentekurve'!$D51:D52))*(-E390)*0.5,-E184*($C520-0.5)/(1+AVERAGE('Vedlegg 1 - Rentekurve'!$D51:D52))*$G455*0.5),0)</f>
        <v>0</v>
      </c>
      <c r="F520" s="274">
        <f>IF(F390&lt;0,IF($G455&gt;-F390,-F184*($C520-0.5)/(1+AVERAGE('Vedlegg 1 - Rentekurve'!$D51:D52))*(-F390)-F184*($C520-0.5)/(1+AVERAGE('Vedlegg 1 - Rentekurve'!$D51:D52))*(F390+$G455)*0.2,-F184*($C520-0.5)/(1+AVERAGE('Vedlegg 1 - Rentekurve'!$D51:D52))*$G455),-F184*($C520-0.5)/(1+AVERAGE('Vedlegg 1 - Rentekurve'!$D51:D52))*$G455*0.2)</f>
        <v>0</v>
      </c>
      <c r="G520" s="33"/>
      <c r="H520" s="33"/>
      <c r="I520" s="37"/>
    </row>
    <row r="521" spans="1:9" ht="12.75" customHeight="1">
      <c r="A521" s="32"/>
      <c r="B521" s="33"/>
      <c r="C521" s="35">
        <v>44</v>
      </c>
      <c r="D521" s="274">
        <f>IF(D391&lt;0,IF($G456&gt;-D391,-D185*($C521-0.5)/(1+AVERAGE('Vedlegg 1 - Rentekurve'!$D52:D53))*(-D391)*0.1,-D185*($C521-0.5)/(1+AVERAGE('Vedlegg 1 - Rentekurve'!$D52:D53))*$G456*0.1),0)</f>
        <v>0</v>
      </c>
      <c r="E521" s="274">
        <f>IF(E391&lt;0,IF($G456&gt;-E391,-E185*($C521-0.5)/(1+AVERAGE('Vedlegg 1 - Rentekurve'!$D52:D53))*(-E391)*0.5,-E185*($C521-0.5)/(1+AVERAGE('Vedlegg 1 - Rentekurve'!$D52:D53))*$G456*0.5),0)</f>
        <v>0</v>
      </c>
      <c r="F521" s="274">
        <f>IF(F391&lt;0,IF($G456&gt;-F391,-F185*($C521-0.5)/(1+AVERAGE('Vedlegg 1 - Rentekurve'!$D52:D53))*(-F391)-F185*($C521-0.5)/(1+AVERAGE('Vedlegg 1 - Rentekurve'!$D52:D53))*(F391+$G456)*0.2,-F185*($C521-0.5)/(1+AVERAGE('Vedlegg 1 - Rentekurve'!$D52:D53))*$G456),-F185*($C521-0.5)/(1+AVERAGE('Vedlegg 1 - Rentekurve'!$D52:D53))*$G456*0.2)</f>
        <v>0</v>
      </c>
      <c r="G521" s="33"/>
      <c r="H521" s="33"/>
      <c r="I521" s="37"/>
    </row>
    <row r="522" spans="1:9" ht="12.75" customHeight="1">
      <c r="A522" s="32"/>
      <c r="B522" s="33"/>
      <c r="C522" s="35">
        <v>45</v>
      </c>
      <c r="D522" s="274">
        <f>IF(D392&lt;0,IF($G457&gt;-D392,-D186*($C522-0.5)/(1+AVERAGE('Vedlegg 1 - Rentekurve'!$D53:D54))*(-D392)*0.1,-D186*($C522-0.5)/(1+AVERAGE('Vedlegg 1 - Rentekurve'!$D53:D54))*$G457*0.1),0)</f>
        <v>0</v>
      </c>
      <c r="E522" s="274">
        <f>IF(E392&lt;0,IF($G457&gt;-E392,-E186*($C522-0.5)/(1+AVERAGE('Vedlegg 1 - Rentekurve'!$D53:D54))*(-E392)*0.5,-E186*($C522-0.5)/(1+AVERAGE('Vedlegg 1 - Rentekurve'!$D53:D54))*$G457*0.5),0)</f>
        <v>0</v>
      </c>
      <c r="F522" s="274">
        <f>IF(F392&lt;0,IF($G457&gt;-F392,-F186*($C522-0.5)/(1+AVERAGE('Vedlegg 1 - Rentekurve'!$D53:D54))*(-F392)-F186*($C522-0.5)/(1+AVERAGE('Vedlegg 1 - Rentekurve'!$D53:D54))*(F392+$G457)*0.2,-F186*($C522-0.5)/(1+AVERAGE('Vedlegg 1 - Rentekurve'!$D53:D54))*$G457),-F186*($C522-0.5)/(1+AVERAGE('Vedlegg 1 - Rentekurve'!$D53:D54))*$G457*0.2)</f>
        <v>0</v>
      </c>
      <c r="G522" s="33"/>
      <c r="H522" s="33"/>
      <c r="I522" s="37"/>
    </row>
    <row r="523" spans="1:9" ht="12.75" customHeight="1">
      <c r="A523" s="32"/>
      <c r="B523" s="33"/>
      <c r="C523" s="35">
        <v>46</v>
      </c>
      <c r="D523" s="274">
        <f>IF(D393&lt;0,IF($G458&gt;-D393,-D187*($C523-0.5)/(1+AVERAGE('Vedlegg 1 - Rentekurve'!$D54:D55))*(-D393)*0.1,-D187*($C523-0.5)/(1+AVERAGE('Vedlegg 1 - Rentekurve'!$D54:D55))*$G458*0.1),0)</f>
        <v>0</v>
      </c>
      <c r="E523" s="274">
        <f>IF(E393&lt;0,IF($G458&gt;-E393,-E187*($C523-0.5)/(1+AVERAGE('Vedlegg 1 - Rentekurve'!$D54:D55))*(-E393)*0.5,-E187*($C523-0.5)/(1+AVERAGE('Vedlegg 1 - Rentekurve'!$D54:D55))*$G458*0.5),0)</f>
        <v>0</v>
      </c>
      <c r="F523" s="274">
        <f>IF(F393&lt;0,IF($G458&gt;-F393,-F187*($C523-0.5)/(1+AVERAGE('Vedlegg 1 - Rentekurve'!$D54:D55))*(-F393)-F187*($C523-0.5)/(1+AVERAGE('Vedlegg 1 - Rentekurve'!$D54:D55))*(F393+$G458)*0.2,-F187*($C523-0.5)/(1+AVERAGE('Vedlegg 1 - Rentekurve'!$D54:D55))*$G458),-F187*($C523-0.5)/(1+AVERAGE('Vedlegg 1 - Rentekurve'!$D54:D55))*$G458*0.2)</f>
        <v>0</v>
      </c>
      <c r="G523" s="33"/>
      <c r="H523" s="33"/>
      <c r="I523" s="37"/>
    </row>
    <row r="524" spans="1:9" ht="12.75" customHeight="1">
      <c r="A524" s="32"/>
      <c r="B524" s="33"/>
      <c r="C524" s="35">
        <v>47</v>
      </c>
      <c r="D524" s="274">
        <f>IF(D394&lt;0,IF($G459&gt;-D394,-D188*($C524-0.5)/(1+AVERAGE('Vedlegg 1 - Rentekurve'!$D55:D56))*(-D394)*0.1,-D188*($C524-0.5)/(1+AVERAGE('Vedlegg 1 - Rentekurve'!$D55:D56))*$G459*0.1),0)</f>
        <v>0</v>
      </c>
      <c r="E524" s="274">
        <f>IF(E394&lt;0,IF($G459&gt;-E394,-E188*($C524-0.5)/(1+AVERAGE('Vedlegg 1 - Rentekurve'!$D55:D56))*(-E394)*0.5,-E188*($C524-0.5)/(1+AVERAGE('Vedlegg 1 - Rentekurve'!$D55:D56))*$G459*0.5),0)</f>
        <v>0</v>
      </c>
      <c r="F524" s="274">
        <f>IF(F394&lt;0,IF($G459&gt;-F394,-F188*($C524-0.5)/(1+AVERAGE('Vedlegg 1 - Rentekurve'!$D55:D56))*(-F394)-F188*($C524-0.5)/(1+AVERAGE('Vedlegg 1 - Rentekurve'!$D55:D56))*(F394+$G459)*0.2,-F188*($C524-0.5)/(1+AVERAGE('Vedlegg 1 - Rentekurve'!$D55:D56))*$G459),-F188*($C524-0.5)/(1+AVERAGE('Vedlegg 1 - Rentekurve'!$D55:D56))*$G459*0.2)</f>
        <v>0</v>
      </c>
      <c r="G524" s="33"/>
      <c r="H524" s="33"/>
      <c r="I524" s="37"/>
    </row>
    <row r="525" spans="1:9" ht="12.75" customHeight="1">
      <c r="A525" s="32"/>
      <c r="B525" s="33"/>
      <c r="C525" s="35">
        <v>48</v>
      </c>
      <c r="D525" s="274">
        <f>IF(D395&lt;0,IF($G460&gt;-D395,-D189*($C525-0.5)/(1+AVERAGE('Vedlegg 1 - Rentekurve'!$D56:D57))*(-D395)*0.1,-D189*($C525-0.5)/(1+AVERAGE('Vedlegg 1 - Rentekurve'!$D56:D57))*$G460*0.1),0)</f>
        <v>0</v>
      </c>
      <c r="E525" s="274">
        <f>IF(E395&lt;0,IF($G460&gt;-E395,-E189*($C525-0.5)/(1+AVERAGE('Vedlegg 1 - Rentekurve'!$D56:D57))*(-E395)*0.5,-E189*($C525-0.5)/(1+AVERAGE('Vedlegg 1 - Rentekurve'!$D56:D57))*$G460*0.5),0)</f>
        <v>0</v>
      </c>
      <c r="F525" s="274">
        <f>IF(F395&lt;0,IF($G460&gt;-F395,-F189*($C525-0.5)/(1+AVERAGE('Vedlegg 1 - Rentekurve'!$D56:D57))*(-F395)-F189*($C525-0.5)/(1+AVERAGE('Vedlegg 1 - Rentekurve'!$D56:D57))*(F395+$G460)*0.2,-F189*($C525-0.5)/(1+AVERAGE('Vedlegg 1 - Rentekurve'!$D56:D57))*$G460),-F189*($C525-0.5)/(1+AVERAGE('Vedlegg 1 - Rentekurve'!$D56:D57))*$G460*0.2)</f>
        <v>0</v>
      </c>
      <c r="G525" s="33"/>
      <c r="H525" s="33"/>
      <c r="I525" s="37"/>
    </row>
    <row r="526" spans="1:9" ht="12.75" customHeight="1">
      <c r="A526" s="32"/>
      <c r="B526" s="33"/>
      <c r="C526" s="35">
        <v>49</v>
      </c>
      <c r="D526" s="274">
        <f>IF(D396&lt;0,IF($G461&gt;-D396,-D190*($C526-0.5)/(1+AVERAGE('Vedlegg 1 - Rentekurve'!$D57:D58))*(-D396)*0.1,-D190*($C526-0.5)/(1+AVERAGE('Vedlegg 1 - Rentekurve'!$D57:D58))*$G461*0.1),0)</f>
        <v>0</v>
      </c>
      <c r="E526" s="274">
        <f>IF(E396&lt;0,IF($G461&gt;-E396,-E190*($C526-0.5)/(1+AVERAGE('Vedlegg 1 - Rentekurve'!$D57:D58))*(-E396)*0.5,-E190*($C526-0.5)/(1+AVERAGE('Vedlegg 1 - Rentekurve'!$D57:D58))*$G461*0.5),0)</f>
        <v>0</v>
      </c>
      <c r="F526" s="274">
        <f>IF(F396&lt;0,IF($G461&gt;-F396,-F190*($C526-0.5)/(1+AVERAGE('Vedlegg 1 - Rentekurve'!$D57:D58))*(-F396)-F190*($C526-0.5)/(1+AVERAGE('Vedlegg 1 - Rentekurve'!$D57:D58))*(F396+$G461)*0.2,-F190*($C526-0.5)/(1+AVERAGE('Vedlegg 1 - Rentekurve'!$D57:D58))*$G461),-F190*($C526-0.5)/(1+AVERAGE('Vedlegg 1 - Rentekurve'!$D57:D58))*$G461*0.2)</f>
        <v>0</v>
      </c>
      <c r="G526" s="33"/>
      <c r="H526" s="33"/>
      <c r="I526" s="37"/>
    </row>
    <row r="527" spans="1:9" ht="12.75" customHeight="1">
      <c r="A527" s="32"/>
      <c r="B527" s="33"/>
      <c r="C527" s="35">
        <v>50</v>
      </c>
      <c r="D527" s="274">
        <f>IF(D397&lt;0,IF($G462&gt;-D397,-D191*($C527-0.5)/(1+AVERAGE('Vedlegg 1 - Rentekurve'!$D58:D59))*(-D397)*0.1,-D191*($C527-0.5)/(1+AVERAGE('Vedlegg 1 - Rentekurve'!$D58:D59))*$G462*0.1),0)</f>
        <v>0</v>
      </c>
      <c r="E527" s="274">
        <f>IF(E397&lt;0,IF($G462&gt;-E397,-E191*($C527-0.5)/(1+AVERAGE('Vedlegg 1 - Rentekurve'!$D58:D59))*(-E397)*0.5,-E191*($C527-0.5)/(1+AVERAGE('Vedlegg 1 - Rentekurve'!$D58:D59))*$G462*0.5),0)</f>
        <v>0</v>
      </c>
      <c r="F527" s="274">
        <f>IF(F397&lt;0,IF($G462&gt;-F397,-F191*($C527-0.5)/(1+AVERAGE('Vedlegg 1 - Rentekurve'!$D58:D59))*(-F397)-F191*($C527-0.5)/(1+AVERAGE('Vedlegg 1 - Rentekurve'!$D58:D59))*(F397+$G462)*0.2,-F191*($C527-0.5)/(1+AVERAGE('Vedlegg 1 - Rentekurve'!$D58:D59))*$G462),-F191*($C527-0.5)/(1+AVERAGE('Vedlegg 1 - Rentekurve'!$D58:D59))*$G462*0.2)</f>
        <v>0</v>
      </c>
      <c r="G527" s="33"/>
      <c r="H527" s="33"/>
      <c r="I527" s="37"/>
    </row>
    <row r="528" spans="1:9" ht="12.75" customHeight="1">
      <c r="A528" s="32"/>
      <c r="B528" s="33"/>
      <c r="C528" s="35">
        <v>51</v>
      </c>
      <c r="D528" s="274">
        <f>IF(D398&lt;0,IF($G463&gt;-D398,-D192*($C528-0.5)/(1+AVERAGE('Vedlegg 1 - Rentekurve'!$D59:D60))*(-D398)*0.1,-D192*($C528-0.5)/(1+AVERAGE('Vedlegg 1 - Rentekurve'!$D59:D60))*$G463*0.1),0)</f>
        <v>0</v>
      </c>
      <c r="E528" s="274">
        <f>IF(E398&lt;0,IF($G463&gt;-E398,-E192*($C528-0.5)/(1+AVERAGE('Vedlegg 1 - Rentekurve'!$D59:D60))*(-E398)*0.5,-E192*($C528-0.5)/(1+AVERAGE('Vedlegg 1 - Rentekurve'!$D59:D60))*$G463*0.5),0)</f>
        <v>0</v>
      </c>
      <c r="F528" s="274">
        <f>IF(F398&lt;0,IF($G463&gt;-F398,-F192*($C528-0.5)/(1+AVERAGE('Vedlegg 1 - Rentekurve'!$D59:D60))*(-F398)-F192*($C528-0.5)/(1+AVERAGE('Vedlegg 1 - Rentekurve'!$D59:D60))*(F398+$G463)*0.2,-F192*($C528-0.5)/(1+AVERAGE('Vedlegg 1 - Rentekurve'!$D59:D60))*$G463),-F192*($C528-0.5)/(1+AVERAGE('Vedlegg 1 - Rentekurve'!$D59:D60))*$G463*0.2)</f>
        <v>0</v>
      </c>
      <c r="G528" s="33"/>
      <c r="H528" s="33"/>
      <c r="I528" s="37"/>
    </row>
    <row r="529" spans="1:9" ht="12.75" customHeight="1">
      <c r="A529" s="32"/>
      <c r="B529" s="33"/>
      <c r="C529" s="35">
        <v>52</v>
      </c>
      <c r="D529" s="274">
        <f>IF(D399&lt;0,IF($G464&gt;-D399,-D193*($C529-0.5)/(1+AVERAGE('Vedlegg 1 - Rentekurve'!$D60:D61))*(-D399)*0.1,-D193*($C529-0.5)/(1+AVERAGE('Vedlegg 1 - Rentekurve'!$D60:D61))*$G464*0.1),0)</f>
        <v>0</v>
      </c>
      <c r="E529" s="274">
        <f>IF(E399&lt;0,IF($G464&gt;-E399,-E193*($C529-0.5)/(1+AVERAGE('Vedlegg 1 - Rentekurve'!$D60:D61))*(-E399)*0.5,-E193*($C529-0.5)/(1+AVERAGE('Vedlegg 1 - Rentekurve'!$D60:D61))*$G464*0.5),0)</f>
        <v>0</v>
      </c>
      <c r="F529" s="274">
        <f>IF(F399&lt;0,IF($G464&gt;-F399,-F193*($C529-0.5)/(1+AVERAGE('Vedlegg 1 - Rentekurve'!$D60:D61))*(-F399)-F193*($C529-0.5)/(1+AVERAGE('Vedlegg 1 - Rentekurve'!$D60:D61))*(F399+$G464)*0.2,-F193*($C529-0.5)/(1+AVERAGE('Vedlegg 1 - Rentekurve'!$D60:D61))*$G464),-F193*($C529-0.5)/(1+AVERAGE('Vedlegg 1 - Rentekurve'!$D60:D61))*$G464*0.2)</f>
        <v>0</v>
      </c>
      <c r="G529" s="33"/>
      <c r="H529" s="33"/>
      <c r="I529" s="37"/>
    </row>
    <row r="530" spans="1:9" ht="12.75" customHeight="1">
      <c r="A530" s="32"/>
      <c r="B530" s="33"/>
      <c r="C530" s="35">
        <v>53</v>
      </c>
      <c r="D530" s="274">
        <f>IF(D400&lt;0,IF($G465&gt;-D400,-D194*($C530-0.5)/(1+AVERAGE('Vedlegg 1 - Rentekurve'!$D61:D62))*(-D400)*0.1,-D194*($C530-0.5)/(1+AVERAGE('Vedlegg 1 - Rentekurve'!$D61:D62))*$G465*0.1),0)</f>
        <v>0</v>
      </c>
      <c r="E530" s="274">
        <f>IF(E400&lt;0,IF($G465&gt;-E400,-E194*($C530-0.5)/(1+AVERAGE('Vedlegg 1 - Rentekurve'!$D61:D62))*(-E400)*0.5,-E194*($C530-0.5)/(1+AVERAGE('Vedlegg 1 - Rentekurve'!$D61:D62))*$G465*0.5),0)</f>
        <v>0</v>
      </c>
      <c r="F530" s="274">
        <f>IF(F400&lt;0,IF($G465&gt;-F400,-F194*($C530-0.5)/(1+AVERAGE('Vedlegg 1 - Rentekurve'!$D61:D62))*(-F400)-F194*($C530-0.5)/(1+AVERAGE('Vedlegg 1 - Rentekurve'!$D61:D62))*(F400+$G465)*0.2,-F194*($C530-0.5)/(1+AVERAGE('Vedlegg 1 - Rentekurve'!$D61:D62))*$G465),-F194*($C530-0.5)/(1+AVERAGE('Vedlegg 1 - Rentekurve'!$D61:D62))*$G465*0.2)</f>
        <v>0</v>
      </c>
      <c r="G530" s="33"/>
      <c r="H530" s="33"/>
      <c r="I530" s="37"/>
    </row>
    <row r="531" spans="1:9" ht="12.75" customHeight="1">
      <c r="A531" s="32"/>
      <c r="B531" s="33"/>
      <c r="C531" s="35">
        <v>54</v>
      </c>
      <c r="D531" s="274">
        <f>IF(D401&lt;0,IF($G466&gt;-D401,-D195*($C531-0.5)/(1+AVERAGE('Vedlegg 1 - Rentekurve'!$D62:D63))*(-D401)*0.1,-D195*($C531-0.5)/(1+AVERAGE('Vedlegg 1 - Rentekurve'!$D62:D63))*$G466*0.1),0)</f>
        <v>0</v>
      </c>
      <c r="E531" s="274">
        <f>IF(E401&lt;0,IF($G466&gt;-E401,-E195*($C531-0.5)/(1+AVERAGE('Vedlegg 1 - Rentekurve'!$D62:D63))*(-E401)*0.5,-E195*($C531-0.5)/(1+AVERAGE('Vedlegg 1 - Rentekurve'!$D62:D63))*$G466*0.5),0)</f>
        <v>0</v>
      </c>
      <c r="F531" s="274">
        <f>IF(F401&lt;0,IF($G466&gt;-F401,-F195*($C531-0.5)/(1+AVERAGE('Vedlegg 1 - Rentekurve'!$D62:D63))*(-F401)-F195*($C531-0.5)/(1+AVERAGE('Vedlegg 1 - Rentekurve'!$D62:D63))*(F401+$G466)*0.2,-F195*($C531-0.5)/(1+AVERAGE('Vedlegg 1 - Rentekurve'!$D62:D63))*$G466),-F195*($C531-0.5)/(1+AVERAGE('Vedlegg 1 - Rentekurve'!$D62:D63))*$G466*0.2)</f>
        <v>0</v>
      </c>
      <c r="G531" s="33"/>
      <c r="H531" s="33"/>
      <c r="I531" s="37"/>
    </row>
    <row r="532" spans="1:9" ht="12.75" customHeight="1">
      <c r="A532" s="32"/>
      <c r="B532" s="33"/>
      <c r="C532" s="35">
        <v>55</v>
      </c>
      <c r="D532" s="274">
        <f>IF(D402&lt;0,IF($G467&gt;-D402,-D196*($C532-0.5)/(1+AVERAGE('Vedlegg 1 - Rentekurve'!$D63:D64))*(-D402)*0.1,-D196*($C532-0.5)/(1+AVERAGE('Vedlegg 1 - Rentekurve'!$D63:D64))*$G467*0.1),0)</f>
        <v>0</v>
      </c>
      <c r="E532" s="274">
        <f>IF(E402&lt;0,IF($G467&gt;-E402,-E196*($C532-0.5)/(1+AVERAGE('Vedlegg 1 - Rentekurve'!$D63:D64))*(-E402)*0.5,-E196*($C532-0.5)/(1+AVERAGE('Vedlegg 1 - Rentekurve'!$D63:D64))*$G467*0.5),0)</f>
        <v>0</v>
      </c>
      <c r="F532" s="274">
        <f>IF(F402&lt;0,IF($G467&gt;-F402,-F196*($C532-0.5)/(1+AVERAGE('Vedlegg 1 - Rentekurve'!$D63:D64))*(-F402)-F196*($C532-0.5)/(1+AVERAGE('Vedlegg 1 - Rentekurve'!$D63:D64))*(F402+$G467)*0.2,-F196*($C532-0.5)/(1+AVERAGE('Vedlegg 1 - Rentekurve'!$D63:D64))*$G467),-F196*($C532-0.5)/(1+AVERAGE('Vedlegg 1 - Rentekurve'!$D63:D64))*$G467*0.2)</f>
        <v>0</v>
      </c>
      <c r="G532" s="33"/>
      <c r="H532" s="33"/>
      <c r="I532" s="37"/>
    </row>
    <row r="533" spans="1:9" ht="12.75" customHeight="1">
      <c r="A533" s="32"/>
      <c r="B533" s="33"/>
      <c r="C533" s="35">
        <v>56</v>
      </c>
      <c r="D533" s="274">
        <f>IF(D403&lt;0,IF($G468&gt;-D403,-D197*($C533-0.5)/(1+AVERAGE('Vedlegg 1 - Rentekurve'!$D64:D65))*(-D403)*0.1,-D197*($C533-0.5)/(1+AVERAGE('Vedlegg 1 - Rentekurve'!$D64:D65))*$G468*0.1),0)</f>
        <v>0</v>
      </c>
      <c r="E533" s="274">
        <f>IF(E403&lt;0,IF($G468&gt;-E403,-E197*($C533-0.5)/(1+AVERAGE('Vedlegg 1 - Rentekurve'!$D64:D65))*(-E403)*0.5,-E197*($C533-0.5)/(1+AVERAGE('Vedlegg 1 - Rentekurve'!$D64:D65))*$G468*0.5),0)</f>
        <v>0</v>
      </c>
      <c r="F533" s="274">
        <f>IF(F403&lt;0,IF($G468&gt;-F403,-F197*($C533-0.5)/(1+AVERAGE('Vedlegg 1 - Rentekurve'!$D64:D65))*(-F403)-F197*($C533-0.5)/(1+AVERAGE('Vedlegg 1 - Rentekurve'!$D64:D65))*(F403+$G468)*0.2,-F197*($C533-0.5)/(1+AVERAGE('Vedlegg 1 - Rentekurve'!$D64:D65))*$G468),-F197*($C533-0.5)/(1+AVERAGE('Vedlegg 1 - Rentekurve'!$D64:D65))*$G468*0.2)</f>
        <v>0</v>
      </c>
      <c r="G533" s="33"/>
      <c r="H533" s="33"/>
      <c r="I533" s="37"/>
    </row>
    <row r="534" spans="1:9" ht="12.75" customHeight="1">
      <c r="A534" s="32"/>
      <c r="B534" s="33"/>
      <c r="C534" s="35">
        <v>57</v>
      </c>
      <c r="D534" s="274">
        <f>IF(D404&lt;0,IF($G469&gt;-D404,-D198*($C534-0.5)/(1+AVERAGE('Vedlegg 1 - Rentekurve'!$D65:D66))*(-D404)*0.1,-D198*($C534-0.5)/(1+AVERAGE('Vedlegg 1 - Rentekurve'!$D65:D66))*$G469*0.1),0)</f>
        <v>0</v>
      </c>
      <c r="E534" s="274">
        <f>IF(E404&lt;0,IF($G469&gt;-E404,-E198*($C534-0.5)/(1+AVERAGE('Vedlegg 1 - Rentekurve'!$D65:D66))*(-E404)*0.5,-E198*($C534-0.5)/(1+AVERAGE('Vedlegg 1 - Rentekurve'!$D65:D66))*$G469*0.5),0)</f>
        <v>0</v>
      </c>
      <c r="F534" s="274">
        <f>IF(F404&lt;0,IF($G469&gt;-F404,-F198*($C534-0.5)/(1+AVERAGE('Vedlegg 1 - Rentekurve'!$D65:D66))*(-F404)-F198*($C534-0.5)/(1+AVERAGE('Vedlegg 1 - Rentekurve'!$D65:D66))*(F404+$G469)*0.2,-F198*($C534-0.5)/(1+AVERAGE('Vedlegg 1 - Rentekurve'!$D65:D66))*$G469),-F198*($C534-0.5)/(1+AVERAGE('Vedlegg 1 - Rentekurve'!$D65:D66))*$G469*0.2)</f>
        <v>0</v>
      </c>
      <c r="G534" s="33"/>
      <c r="H534" s="33"/>
      <c r="I534" s="37"/>
    </row>
    <row r="535" spans="1:9" ht="12.75" customHeight="1">
      <c r="A535" s="32"/>
      <c r="B535" s="33"/>
      <c r="C535" s="35">
        <v>58</v>
      </c>
      <c r="D535" s="274">
        <f>IF(D405&lt;0,IF($G470&gt;-D405,-D199*($C535-0.5)/(1+AVERAGE('Vedlegg 1 - Rentekurve'!$D66:D67))*(-D405)*0.1,-D199*($C535-0.5)/(1+AVERAGE('Vedlegg 1 - Rentekurve'!$D66:D67))*$G470*0.1),0)</f>
        <v>0</v>
      </c>
      <c r="E535" s="274">
        <f>IF(E405&lt;0,IF($G470&gt;-E405,-E199*($C535-0.5)/(1+AVERAGE('Vedlegg 1 - Rentekurve'!$D66:D67))*(-E405)*0.5,-E199*($C535-0.5)/(1+AVERAGE('Vedlegg 1 - Rentekurve'!$D66:D67))*$G470*0.5),0)</f>
        <v>0</v>
      </c>
      <c r="F535" s="274">
        <f>IF(F405&lt;0,IF($G470&gt;-F405,-F199*($C535-0.5)/(1+AVERAGE('Vedlegg 1 - Rentekurve'!$D66:D67))*(-F405)-F199*($C535-0.5)/(1+AVERAGE('Vedlegg 1 - Rentekurve'!$D66:D67))*(F405+$G470)*0.2,-F199*($C535-0.5)/(1+AVERAGE('Vedlegg 1 - Rentekurve'!$D66:D67))*$G470),-F199*($C535-0.5)/(1+AVERAGE('Vedlegg 1 - Rentekurve'!$D66:D67))*$G470*0.2)</f>
        <v>0</v>
      </c>
      <c r="G535" s="33"/>
      <c r="H535" s="33"/>
      <c r="I535" s="37"/>
    </row>
    <row r="536" spans="1:9" ht="12.75" customHeight="1">
      <c r="A536" s="32"/>
      <c r="B536" s="33"/>
      <c r="C536" s="35">
        <v>59</v>
      </c>
      <c r="D536" s="274">
        <f>IF(D406&lt;0,IF($G471&gt;-D406,-D200*($C536-0.5)/(1+AVERAGE('Vedlegg 1 - Rentekurve'!$D67:D68))*(-D406)*0.1,-D200*($C536-0.5)/(1+AVERAGE('Vedlegg 1 - Rentekurve'!$D67:D68))*$G471*0.1),0)</f>
        <v>0</v>
      </c>
      <c r="E536" s="274">
        <f>IF(E406&lt;0,IF($G471&gt;-E406,-E200*($C536-0.5)/(1+AVERAGE('Vedlegg 1 - Rentekurve'!$D67:D68))*(-E406)*0.5,-E200*($C536-0.5)/(1+AVERAGE('Vedlegg 1 - Rentekurve'!$D67:D68))*$G471*0.5),0)</f>
        <v>0</v>
      </c>
      <c r="F536" s="274">
        <f>IF(F406&lt;0,IF($G471&gt;-F406,-F200*($C536-0.5)/(1+AVERAGE('Vedlegg 1 - Rentekurve'!$D67:D68))*(-F406)-F200*($C536-0.5)/(1+AVERAGE('Vedlegg 1 - Rentekurve'!$D67:D68))*(F406+$G471)*0.2,-F200*($C536-0.5)/(1+AVERAGE('Vedlegg 1 - Rentekurve'!$D67:D68))*$G471),-F200*($C536-0.5)/(1+AVERAGE('Vedlegg 1 - Rentekurve'!$D67:D68))*$G471*0.2)</f>
        <v>0</v>
      </c>
      <c r="G536" s="33"/>
      <c r="H536" s="33"/>
      <c r="I536" s="37"/>
    </row>
    <row r="537" spans="1:9" ht="12.75" customHeight="1">
      <c r="A537" s="32"/>
      <c r="B537" s="33"/>
      <c r="C537" s="35">
        <v>60</v>
      </c>
      <c r="D537" s="274">
        <f>IF(D407&lt;0,IF($G472&gt;-D407,-D201*($C537-0.5)/(1+AVERAGE('Vedlegg 1 - Rentekurve'!$D68:D69))*(-D407)*0.1,-D201*($C537-0.5)/(1+AVERAGE('Vedlegg 1 - Rentekurve'!$D68:D69))*$G472*0.1),0)</f>
        <v>0</v>
      </c>
      <c r="E537" s="274">
        <f>IF(E407&lt;0,IF($G472&gt;-E407,-E201*($C537-0.5)/(1+AVERAGE('Vedlegg 1 - Rentekurve'!$D68:D69))*(-E407)*0.5,-E201*($C537-0.5)/(1+AVERAGE('Vedlegg 1 - Rentekurve'!$D68:D69))*$G472*0.5),0)</f>
        <v>0</v>
      </c>
      <c r="F537" s="274">
        <f>IF(F407&lt;0,IF($G472&gt;-F407,-F201*($C537-0.5)/(1+AVERAGE('Vedlegg 1 - Rentekurve'!$D68:D69))*(-F407)-F201*($C537-0.5)/(1+AVERAGE('Vedlegg 1 - Rentekurve'!$D68:D69))*(F407+$G472)*0.2,-F201*($C537-0.5)/(1+AVERAGE('Vedlegg 1 - Rentekurve'!$D68:D69))*$G472),-F201*($C537-0.5)/(1+AVERAGE('Vedlegg 1 - Rentekurve'!$D68:D69))*$G472*0.2)</f>
        <v>0</v>
      </c>
      <c r="G537" s="33"/>
      <c r="H537" s="33"/>
      <c r="I537" s="37"/>
    </row>
    <row r="538" spans="1:9" ht="15.9" customHeight="1">
      <c r="A538" s="32"/>
      <c r="B538" s="259" t="s">
        <v>619</v>
      </c>
      <c r="C538" s="299"/>
      <c r="D538" s="401">
        <f>SUM(D478:D537)</f>
        <v>0</v>
      </c>
      <c r="E538" s="396">
        <f>SUM(E478:E537)</f>
        <v>0</v>
      </c>
      <c r="F538" s="396">
        <f>SUM(F478:F537)</f>
        <v>0</v>
      </c>
      <c r="G538" s="246" t="s">
        <v>114</v>
      </c>
      <c r="H538" s="33"/>
      <c r="I538" s="37"/>
    </row>
    <row r="539" spans="1:9" ht="15.9" customHeight="1">
      <c r="A539" s="32"/>
      <c r="B539" s="33"/>
      <c r="C539" s="259"/>
      <c r="D539" s="263"/>
      <c r="E539" s="263"/>
      <c r="F539" s="263"/>
      <c r="G539" s="396">
        <f>SUM(D538:F538)</f>
        <v>0</v>
      </c>
      <c r="H539" s="33"/>
      <c r="I539" s="37"/>
    </row>
    <row r="540" spans="1:9" ht="15.9" customHeight="1">
      <c r="A540" s="32"/>
      <c r="B540" s="33"/>
      <c r="C540" s="259"/>
      <c r="D540" s="263"/>
      <c r="E540" s="263"/>
      <c r="F540" s="263"/>
      <c r="G540" s="263"/>
      <c r="H540" s="33"/>
      <c r="I540" s="37"/>
    </row>
    <row r="541" spans="1:9" ht="15.9" customHeight="1">
      <c r="A541" s="32"/>
      <c r="B541" s="33"/>
      <c r="C541" s="259"/>
      <c r="D541" s="263"/>
      <c r="E541" s="263"/>
      <c r="F541" s="263"/>
      <c r="G541" s="263"/>
      <c r="H541" s="33"/>
      <c r="I541" s="37"/>
    </row>
    <row r="542" spans="1:9" ht="15.65" customHeight="1">
      <c r="A542" s="32"/>
      <c r="B542" s="60" t="s">
        <v>620</v>
      </c>
      <c r="C542" s="409" t="s">
        <v>621</v>
      </c>
      <c r="D542" s="64"/>
      <c r="E542" s="64"/>
      <c r="F542" s="64"/>
      <c r="G542" s="33"/>
      <c r="H542" s="33"/>
      <c r="I542" s="37"/>
    </row>
    <row r="543" spans="1:9" ht="15.9" customHeight="1">
      <c r="A543" s="32"/>
      <c r="B543" s="33"/>
      <c r="C543" s="259"/>
      <c r="D543" s="263"/>
      <c r="E543" s="263"/>
      <c r="F543" s="263"/>
      <c r="G543" s="263"/>
      <c r="H543" s="33"/>
      <c r="I543" s="37"/>
    </row>
    <row r="544" spans="1:9" ht="20.149999999999999" customHeight="1">
      <c r="A544" s="32"/>
      <c r="B544" s="299" t="s">
        <v>622</v>
      </c>
      <c r="C544" s="246" t="s">
        <v>591</v>
      </c>
      <c r="D544" s="247" t="s">
        <v>56</v>
      </c>
      <c r="E544" s="247" t="s">
        <v>57</v>
      </c>
      <c r="F544" s="247" t="s">
        <v>58</v>
      </c>
      <c r="G544" s="33"/>
      <c r="H544" s="33"/>
      <c r="I544" s="37"/>
    </row>
    <row r="545" spans="1:9" ht="12.75" customHeight="1">
      <c r="A545" s="32"/>
      <c r="B545" s="33"/>
      <c r="C545" s="249">
        <v>1</v>
      </c>
      <c r="D545" s="274">
        <f>IF(D348&gt;0,IF(-$H413&gt;D348,-D142*($C545-0.5)/(1+AVERAGE('Vedlegg 1 - Rentekurve'!$D9:D10))*(D348+$H413)*0.1,0),-D142*($C545-0.5)/(1+AVERAGE('Vedlegg 1 - Rentekurve'!$D9:D10))*$H413*0.1)</f>
        <v>0</v>
      </c>
      <c r="E545" s="274">
        <f>IF(E348&gt;0,IF(-$H413&gt;E348,-E142*($C545-0.5)/(1+AVERAGE('Vedlegg 1 - Rentekurve'!$D9:D10))*(E348+$H413)*0.5,0),-E142*($C545-0.5)/(1+AVERAGE('Vedlegg 1 - Rentekurve'!$D9:D10))*$H413*0.5)</f>
        <v>0</v>
      </c>
      <c r="F545" s="274">
        <f>IF(F348&gt;0,IF(-$H413&gt;F348,-F142*($C545-0.5)/(1+AVERAGE('Vedlegg 1 - Rentekurve'!$D9:D10))*(-F348)*0.2-F142*($C545-0.5)/(1+AVERAGE('Vedlegg 1 - Rentekurve'!$D9:D10))*(F348+$H413),-F142*($C545-0.5)/(1+AVERAGE('Vedlegg 1 - Rentekurve'!$D9:D10))*$H413*0.2),-F142*($C545-0.5)/(1+AVERAGE('Vedlegg 1 - Rentekurve'!$D9:D10))*$H413)</f>
        <v>0</v>
      </c>
      <c r="G545" s="33"/>
      <c r="H545" s="33"/>
      <c r="I545" s="37"/>
    </row>
    <row r="546" spans="1:9" ht="12.75" customHeight="1">
      <c r="A546" s="397"/>
      <c r="B546" s="33"/>
      <c r="C546" s="35">
        <v>2</v>
      </c>
      <c r="D546" s="274">
        <f>IF(D349&gt;0,IF(-$H414&gt;D349,-D143*($C546-0.5)/(1+AVERAGE('Vedlegg 1 - Rentekurve'!$D10:D11))*(D349+$H414)*0.1,0),-D143*($C546-0.5)/(1+AVERAGE('Vedlegg 1 - Rentekurve'!$D10:D11))*$H414*0.1)</f>
        <v>0</v>
      </c>
      <c r="E546" s="274">
        <f>IF(E349&gt;0,IF(-$H414&gt;E349,-E143*($C546-0.5)/(1+AVERAGE('Vedlegg 1 - Rentekurve'!$D10:D11))*(E349+$H414)*0.5,0),-E143*($C546-0.5)/(1+AVERAGE('Vedlegg 1 - Rentekurve'!$D10:D11))*$H414*0.5)</f>
        <v>0</v>
      </c>
      <c r="F546" s="274">
        <f>IF(F349&gt;0,IF(-$H414&gt;F349,-F143*($C546-0.5)/(1+AVERAGE('Vedlegg 1 - Rentekurve'!$D10:D11))*(-F349)*0.2-F143*($C546-0.5)/(1+AVERAGE('Vedlegg 1 - Rentekurve'!$D10:D11))*(F349+$H414),-F143*($C546-0.5)/(1+AVERAGE('Vedlegg 1 - Rentekurve'!$D10:D11))*$H414*0.2),-F143*($C546-0.5)/(1+AVERAGE('Vedlegg 1 - Rentekurve'!$D10:D11))*$H414)</f>
        <v>0</v>
      </c>
      <c r="G546" s="33"/>
      <c r="H546" s="33"/>
      <c r="I546" s="37"/>
    </row>
    <row r="547" spans="1:9" ht="12.75" customHeight="1">
      <c r="A547" s="32"/>
      <c r="B547" s="33"/>
      <c r="C547" s="35">
        <v>3</v>
      </c>
      <c r="D547" s="274">
        <f>IF(D350&gt;0,IF(-$H415&gt;D350,-D144*($C547-0.5)/(1+AVERAGE('Vedlegg 1 - Rentekurve'!$D11:D12))*(D350+$H415)*0.1,0),-D144*($C547-0.5)/(1+AVERAGE('Vedlegg 1 - Rentekurve'!$D11:D12))*$H415*0.1)</f>
        <v>0</v>
      </c>
      <c r="E547" s="274">
        <f>IF(E350&gt;0,IF(-$H415&gt;E350,-E144*($C547-0.5)/(1+AVERAGE('Vedlegg 1 - Rentekurve'!$D11:D12))*(E350+$H415)*0.5,0),-E144*($C547-0.5)/(1+AVERAGE('Vedlegg 1 - Rentekurve'!$D11:D12))*$H415*0.5)</f>
        <v>0</v>
      </c>
      <c r="F547" s="274">
        <f>IF(F350&gt;0,IF(-$H415&gt;F350,-F144*($C547-0.5)/(1+AVERAGE('Vedlegg 1 - Rentekurve'!$D11:D12))*(-F350)*0.2-F144*($C547-0.5)/(1+AVERAGE('Vedlegg 1 - Rentekurve'!$D11:D12))*(F350+$H415),-F144*($C547-0.5)/(1+AVERAGE('Vedlegg 1 - Rentekurve'!$D11:D12))*$H415*0.2),-F144*($C547-0.5)/(1+AVERAGE('Vedlegg 1 - Rentekurve'!$D11:D12))*$H415)</f>
        <v>0</v>
      </c>
      <c r="G547" s="33"/>
      <c r="H547" s="33"/>
      <c r="I547" s="37"/>
    </row>
    <row r="548" spans="1:9" ht="12.75" customHeight="1">
      <c r="A548" s="32"/>
      <c r="B548" s="33"/>
      <c r="C548" s="35">
        <v>4</v>
      </c>
      <c r="D548" s="274">
        <f>IF(D351&gt;0,IF(-$H416&gt;D351,-D145*($C548-0.5)/(1+AVERAGE('Vedlegg 1 - Rentekurve'!$D12:D13))*(D351+$H416)*0.1,0),-D145*($C548-0.5)/(1+AVERAGE('Vedlegg 1 - Rentekurve'!$D12:D13))*$H416*0.1)</f>
        <v>0</v>
      </c>
      <c r="E548" s="274">
        <f>IF(E351&gt;0,IF(-$H416&gt;E351,-E145*($C548-0.5)/(1+AVERAGE('Vedlegg 1 - Rentekurve'!$D12:D13))*(E351+$H416)*0.5,0),-E145*($C548-0.5)/(1+AVERAGE('Vedlegg 1 - Rentekurve'!$D12:D13))*$H416*0.5)</f>
        <v>0</v>
      </c>
      <c r="F548" s="274">
        <f>IF(F351&gt;0,IF(-$H416&gt;F351,-F145*($C548-0.5)/(1+AVERAGE('Vedlegg 1 - Rentekurve'!$D12:D13))*(-F351)*0.2-F145*($C548-0.5)/(1+AVERAGE('Vedlegg 1 - Rentekurve'!$D12:D13))*(F351+$H416),-F145*($C548-0.5)/(1+AVERAGE('Vedlegg 1 - Rentekurve'!$D12:D13))*$H416*0.2),-F145*($C548-0.5)/(1+AVERAGE('Vedlegg 1 - Rentekurve'!$D12:D13))*$H416)</f>
        <v>0</v>
      </c>
      <c r="G548" s="33"/>
      <c r="H548" s="33"/>
      <c r="I548" s="37"/>
    </row>
    <row r="549" spans="1:9" ht="12.75" customHeight="1">
      <c r="A549" s="32"/>
      <c r="B549" s="33"/>
      <c r="C549" s="35">
        <v>5</v>
      </c>
      <c r="D549" s="274">
        <f>IF(D352&gt;0,IF(-$H417&gt;D352,-D146*($C549-0.5)/(1+AVERAGE('Vedlegg 1 - Rentekurve'!$D13:D14))*(D352+$H417)*0.1,0),-D146*($C549-0.5)/(1+AVERAGE('Vedlegg 1 - Rentekurve'!$D13:D14))*$H417*0.1)</f>
        <v>0</v>
      </c>
      <c r="E549" s="274">
        <f>IF(E352&gt;0,IF(-$H417&gt;E352,-E146*($C549-0.5)/(1+AVERAGE('Vedlegg 1 - Rentekurve'!$D13:D14))*(E352+$H417)*0.5,0),-E146*($C549-0.5)/(1+AVERAGE('Vedlegg 1 - Rentekurve'!$D13:D14))*$H417*0.5)</f>
        <v>0</v>
      </c>
      <c r="F549" s="274">
        <f>IF(F352&gt;0,IF(-$H417&gt;F352,-F146*($C549-0.5)/(1+AVERAGE('Vedlegg 1 - Rentekurve'!$D13:D14))*(-F352)*0.2-F146*($C549-0.5)/(1+AVERAGE('Vedlegg 1 - Rentekurve'!$D13:D14))*(F352+$H417),-F146*($C549-0.5)/(1+AVERAGE('Vedlegg 1 - Rentekurve'!$D13:D14))*$H417*0.2),-F146*($C549-0.5)/(1+AVERAGE('Vedlegg 1 - Rentekurve'!$D13:D14))*$H417)</f>
        <v>0</v>
      </c>
      <c r="G549" s="33"/>
      <c r="H549" s="33"/>
      <c r="I549" s="37"/>
    </row>
    <row r="550" spans="1:9" ht="12.75" customHeight="1">
      <c r="A550" s="32"/>
      <c r="B550" s="33"/>
      <c r="C550" s="35">
        <v>6</v>
      </c>
      <c r="D550" s="274">
        <f>IF(D353&gt;0,IF(-$H418&gt;D353,-D147*($C550-0.5)/(1+AVERAGE('Vedlegg 1 - Rentekurve'!$D14:D15))*(D353+$H418)*0.1,0),-D147*($C550-0.5)/(1+AVERAGE('Vedlegg 1 - Rentekurve'!$D14:D15))*$H418*0.1)</f>
        <v>0</v>
      </c>
      <c r="E550" s="274">
        <f>IF(E353&gt;0,IF(-$H418&gt;E353,-E147*($C550-0.5)/(1+AVERAGE('Vedlegg 1 - Rentekurve'!$D14:D15))*(E353+$H418)*0.5,0),-E147*($C550-0.5)/(1+AVERAGE('Vedlegg 1 - Rentekurve'!$D14:D15))*$H418*0.5)</f>
        <v>0</v>
      </c>
      <c r="F550" s="274">
        <f>IF(F353&gt;0,IF(-$H418&gt;F353,-F147*($C550-0.5)/(1+AVERAGE('Vedlegg 1 - Rentekurve'!$D14:D15))*(-F353)*0.2-F147*($C550-0.5)/(1+AVERAGE('Vedlegg 1 - Rentekurve'!$D14:D15))*(F353+$H418),-F147*($C550-0.5)/(1+AVERAGE('Vedlegg 1 - Rentekurve'!$D14:D15))*$H418*0.2),-F147*($C550-0.5)/(1+AVERAGE('Vedlegg 1 - Rentekurve'!$D14:D15))*$H418)</f>
        <v>0</v>
      </c>
      <c r="G550" s="33"/>
      <c r="H550" s="33"/>
      <c r="I550" s="37"/>
    </row>
    <row r="551" spans="1:9" ht="12.75" customHeight="1">
      <c r="A551" s="32"/>
      <c r="B551" s="33"/>
      <c r="C551" s="35">
        <v>7</v>
      </c>
      <c r="D551" s="274">
        <f>IF(D354&gt;0,IF(-$H419&gt;D354,-D148*($C551-0.5)/(1+AVERAGE('Vedlegg 1 - Rentekurve'!$D15:D16))*(D354+$H419)*0.1,0),-D148*($C551-0.5)/(1+AVERAGE('Vedlegg 1 - Rentekurve'!$D15:D16))*$H419*0.1)</f>
        <v>0</v>
      </c>
      <c r="E551" s="274">
        <f>IF(E354&gt;0,IF(-$H419&gt;E354,-E148*($C551-0.5)/(1+AVERAGE('Vedlegg 1 - Rentekurve'!$D15:D16))*(E354+$H419)*0.5,0),-E148*($C551-0.5)/(1+AVERAGE('Vedlegg 1 - Rentekurve'!$D15:D16))*$H419*0.5)</f>
        <v>0</v>
      </c>
      <c r="F551" s="274">
        <f>IF(F354&gt;0,IF(-$H419&gt;F354,-F148*($C551-0.5)/(1+AVERAGE('Vedlegg 1 - Rentekurve'!$D15:D16))*(-F354)*0.2-F148*($C551-0.5)/(1+AVERAGE('Vedlegg 1 - Rentekurve'!$D15:D16))*(F354+$H419),-F148*($C551-0.5)/(1+AVERAGE('Vedlegg 1 - Rentekurve'!$D15:D16))*$H419*0.2),-F148*($C551-0.5)/(1+AVERAGE('Vedlegg 1 - Rentekurve'!$D15:D16))*$H419)</f>
        <v>0</v>
      </c>
      <c r="G551" s="33"/>
      <c r="H551" s="33"/>
      <c r="I551" s="37"/>
    </row>
    <row r="552" spans="1:9" ht="12.75" customHeight="1">
      <c r="A552" s="32"/>
      <c r="B552" s="33"/>
      <c r="C552" s="35">
        <v>8</v>
      </c>
      <c r="D552" s="274">
        <f>IF(D355&gt;0,IF(-$H420&gt;D355,-D149*($C552-0.5)/(1+AVERAGE('Vedlegg 1 - Rentekurve'!$D16:D17))*(D355+$H420)*0.1,0),-D149*($C552-0.5)/(1+AVERAGE('Vedlegg 1 - Rentekurve'!$D16:D17))*$H420*0.1)</f>
        <v>0</v>
      </c>
      <c r="E552" s="274">
        <f>IF(E355&gt;0,IF(-$H420&gt;E355,-E149*($C552-0.5)/(1+AVERAGE('Vedlegg 1 - Rentekurve'!$D16:D17))*(E355+$H420)*0.5,0),-E149*($C552-0.5)/(1+AVERAGE('Vedlegg 1 - Rentekurve'!$D16:D17))*$H420*0.5)</f>
        <v>0</v>
      </c>
      <c r="F552" s="274">
        <f>IF(F355&gt;0,IF(-$H420&gt;F355,-F149*($C552-0.5)/(1+AVERAGE('Vedlegg 1 - Rentekurve'!$D16:D17))*(-F355)*0.2-F149*($C552-0.5)/(1+AVERAGE('Vedlegg 1 - Rentekurve'!$D16:D17))*(F355+$H420),-F149*($C552-0.5)/(1+AVERAGE('Vedlegg 1 - Rentekurve'!$D16:D17))*$H420*0.2),-F149*($C552-0.5)/(1+AVERAGE('Vedlegg 1 - Rentekurve'!$D16:D17))*$H420)</f>
        <v>0</v>
      </c>
      <c r="G552" s="33"/>
      <c r="H552" s="33"/>
      <c r="I552" s="37"/>
    </row>
    <row r="553" spans="1:9" ht="12.75" customHeight="1">
      <c r="A553" s="32"/>
      <c r="B553" s="33"/>
      <c r="C553" s="35">
        <v>9</v>
      </c>
      <c r="D553" s="274">
        <f>IF(D356&gt;0,IF(-$H421&gt;D356,-D150*($C553-0.5)/(1+AVERAGE('Vedlegg 1 - Rentekurve'!$D17:D18))*(D356+$H421)*0.1,0),-D150*($C553-0.5)/(1+AVERAGE('Vedlegg 1 - Rentekurve'!$D17:D18))*$H421*0.1)</f>
        <v>0</v>
      </c>
      <c r="E553" s="274">
        <f>IF(E356&gt;0,IF(-$H421&gt;E356,-E150*($C553-0.5)/(1+AVERAGE('Vedlegg 1 - Rentekurve'!$D17:D18))*(E356+$H421)*0.5,0),-E150*($C553-0.5)/(1+AVERAGE('Vedlegg 1 - Rentekurve'!$D17:D18))*$H421*0.5)</f>
        <v>0</v>
      </c>
      <c r="F553" s="274">
        <f>IF(F356&gt;0,IF(-$H421&gt;F356,-F150*($C553-0.5)/(1+AVERAGE('Vedlegg 1 - Rentekurve'!$D17:D18))*(-F356)*0.2-F150*($C553-0.5)/(1+AVERAGE('Vedlegg 1 - Rentekurve'!$D17:D18))*(F356+$H421),-F150*($C553-0.5)/(1+AVERAGE('Vedlegg 1 - Rentekurve'!$D17:D18))*$H421*0.2),-F150*($C553-0.5)/(1+AVERAGE('Vedlegg 1 - Rentekurve'!$D17:D18))*$H421)</f>
        <v>0</v>
      </c>
      <c r="G553" s="33"/>
      <c r="H553" s="33"/>
      <c r="I553" s="37"/>
    </row>
    <row r="554" spans="1:9" ht="12.75" customHeight="1">
      <c r="A554" s="32"/>
      <c r="B554" s="33"/>
      <c r="C554" s="35">
        <v>10</v>
      </c>
      <c r="D554" s="274">
        <f>IF(D357&gt;0,IF(-$H422&gt;D357,-D151*($C554-0.5)/(1+AVERAGE('Vedlegg 1 - Rentekurve'!$D18:D19))*(D357+$H422)*0.1,0),-D151*($C554-0.5)/(1+AVERAGE('Vedlegg 1 - Rentekurve'!$D18:D19))*$H422*0.1)</f>
        <v>0</v>
      </c>
      <c r="E554" s="274">
        <f>IF(E357&gt;0,IF(-$H422&gt;E357,-E151*($C554-0.5)/(1+AVERAGE('Vedlegg 1 - Rentekurve'!$D18:D19))*(E357+$H422)*0.5,0),-E151*($C554-0.5)/(1+AVERAGE('Vedlegg 1 - Rentekurve'!$D18:D19))*$H422*0.5)</f>
        <v>0</v>
      </c>
      <c r="F554" s="274">
        <f>IF(F357&gt;0,IF(-$H422&gt;F357,-F151*($C554-0.5)/(1+AVERAGE('Vedlegg 1 - Rentekurve'!$D18:D19))*(-F357)*0.2-F151*($C554-0.5)/(1+AVERAGE('Vedlegg 1 - Rentekurve'!$D18:D19))*(F357+$H422),-F151*($C554-0.5)/(1+AVERAGE('Vedlegg 1 - Rentekurve'!$D18:D19))*$H422*0.2),-F151*($C554-0.5)/(1+AVERAGE('Vedlegg 1 - Rentekurve'!$D18:D19))*$H422)</f>
        <v>0</v>
      </c>
      <c r="G554" s="33"/>
      <c r="H554" s="33"/>
      <c r="I554" s="37"/>
    </row>
    <row r="555" spans="1:9" ht="12.75" customHeight="1">
      <c r="A555" s="32"/>
      <c r="B555" s="33"/>
      <c r="C555" s="35">
        <v>11</v>
      </c>
      <c r="D555" s="274">
        <f>IF(D358&gt;0,IF(-$H423&gt;D358,-D152*($C555-0.5)/(1+AVERAGE('Vedlegg 1 - Rentekurve'!$D19:D20))*(D358+$H423)*0.1,0),-D152*($C555-0.5)/(1+AVERAGE('Vedlegg 1 - Rentekurve'!$D19:D20))*$H423*0.1)</f>
        <v>0</v>
      </c>
      <c r="E555" s="274">
        <f>IF(E358&gt;0,IF(-$H423&gt;E358,-E152*($C555-0.5)/(1+AVERAGE('Vedlegg 1 - Rentekurve'!$D19:D20))*(E358+$H423)*0.5,0),-E152*($C555-0.5)/(1+AVERAGE('Vedlegg 1 - Rentekurve'!$D19:D20))*$H423*0.5)</f>
        <v>0</v>
      </c>
      <c r="F555" s="274">
        <f>IF(F358&gt;0,IF(-$H423&gt;F358,-F152*($C555-0.5)/(1+AVERAGE('Vedlegg 1 - Rentekurve'!$D19:D20))*(-F358)*0.2-F152*($C555-0.5)/(1+AVERAGE('Vedlegg 1 - Rentekurve'!$D19:D20))*(F358+$H423),-F152*($C555-0.5)/(1+AVERAGE('Vedlegg 1 - Rentekurve'!$D19:D20))*$H423*0.2),-F152*($C555-0.5)/(1+AVERAGE('Vedlegg 1 - Rentekurve'!$D19:D20))*$H423)</f>
        <v>0</v>
      </c>
      <c r="G555" s="33"/>
      <c r="H555" s="33"/>
      <c r="I555" s="37"/>
    </row>
    <row r="556" spans="1:9" ht="12.75" customHeight="1">
      <c r="A556" s="32"/>
      <c r="B556" s="33"/>
      <c r="C556" s="35">
        <v>12</v>
      </c>
      <c r="D556" s="274">
        <f>IF(D359&gt;0,IF(-$H424&gt;D359,-D153*($C556-0.5)/(1+AVERAGE('Vedlegg 1 - Rentekurve'!$D20:D21))*(D359+$H424)*0.1,0),-D153*($C556-0.5)/(1+AVERAGE('Vedlegg 1 - Rentekurve'!$D20:D21))*$H424*0.1)</f>
        <v>0</v>
      </c>
      <c r="E556" s="274">
        <f>IF(E359&gt;0,IF(-$H424&gt;E359,-E153*($C556-0.5)/(1+AVERAGE('Vedlegg 1 - Rentekurve'!$D20:D21))*(E359+$H424)*0.5,0),-E153*($C556-0.5)/(1+AVERAGE('Vedlegg 1 - Rentekurve'!$D20:D21))*$H424*0.5)</f>
        <v>0</v>
      </c>
      <c r="F556" s="274">
        <f>IF(F359&gt;0,IF(-$H424&gt;F359,-F153*($C556-0.5)/(1+AVERAGE('Vedlegg 1 - Rentekurve'!$D20:D21))*(-F359)*0.2-F153*($C556-0.5)/(1+AVERAGE('Vedlegg 1 - Rentekurve'!$D20:D21))*(F359+$H424),-F153*($C556-0.5)/(1+AVERAGE('Vedlegg 1 - Rentekurve'!$D20:D21))*$H424*0.2),-F153*($C556-0.5)/(1+AVERAGE('Vedlegg 1 - Rentekurve'!$D20:D21))*$H424)</f>
        <v>0</v>
      </c>
      <c r="G556" s="33"/>
      <c r="H556" s="33"/>
      <c r="I556" s="37"/>
    </row>
    <row r="557" spans="1:9" ht="12.75" customHeight="1">
      <c r="A557" s="32"/>
      <c r="B557" s="33"/>
      <c r="C557" s="35">
        <v>13</v>
      </c>
      <c r="D557" s="274">
        <f>IF(D360&gt;0,IF(-$H425&gt;D360,-D154*($C557-0.5)/(1+AVERAGE('Vedlegg 1 - Rentekurve'!$D21:D22))*(D360+$H425)*0.1,0),-D154*($C557-0.5)/(1+AVERAGE('Vedlegg 1 - Rentekurve'!$D21:D22))*$H425*0.1)</f>
        <v>0</v>
      </c>
      <c r="E557" s="274">
        <f>IF(E360&gt;0,IF(-$H425&gt;E360,-E154*($C557-0.5)/(1+AVERAGE('Vedlegg 1 - Rentekurve'!$D21:D22))*(E360+$H425)*0.5,0),-E154*($C557-0.5)/(1+AVERAGE('Vedlegg 1 - Rentekurve'!$D21:D22))*$H425*0.5)</f>
        <v>0</v>
      </c>
      <c r="F557" s="274">
        <f>IF(F360&gt;0,IF(-$H425&gt;F360,-F154*($C557-0.5)/(1+AVERAGE('Vedlegg 1 - Rentekurve'!$D21:D22))*(-F360)*0.2-F154*($C557-0.5)/(1+AVERAGE('Vedlegg 1 - Rentekurve'!$D21:D22))*(F360+$H425),-F154*($C557-0.5)/(1+AVERAGE('Vedlegg 1 - Rentekurve'!$D21:D22))*$H425*0.2),-F154*($C557-0.5)/(1+AVERAGE('Vedlegg 1 - Rentekurve'!$D21:D22))*$H425)</f>
        <v>0</v>
      </c>
      <c r="G557" s="33"/>
      <c r="H557" s="33"/>
      <c r="I557" s="37"/>
    </row>
    <row r="558" spans="1:9" ht="12.75" customHeight="1">
      <c r="A558" s="32"/>
      <c r="B558" s="33"/>
      <c r="C558" s="35">
        <v>14</v>
      </c>
      <c r="D558" s="274">
        <f>IF(D361&gt;0,IF(-$H426&gt;D361,-D155*($C558-0.5)/(1+AVERAGE('Vedlegg 1 - Rentekurve'!$D22:D23))*(D361+$H426)*0.1,0),-D155*($C558-0.5)/(1+AVERAGE('Vedlegg 1 - Rentekurve'!$D22:D23))*$H426*0.1)</f>
        <v>0</v>
      </c>
      <c r="E558" s="274">
        <f>IF(E361&gt;0,IF(-$H426&gt;E361,-E155*($C558-0.5)/(1+AVERAGE('Vedlegg 1 - Rentekurve'!$D22:D23))*(E361+$H426)*0.5,0),-E155*($C558-0.5)/(1+AVERAGE('Vedlegg 1 - Rentekurve'!$D22:D23))*$H426*0.5)</f>
        <v>0</v>
      </c>
      <c r="F558" s="274">
        <f>IF(F361&gt;0,IF(-$H426&gt;F361,-F155*($C558-0.5)/(1+AVERAGE('Vedlegg 1 - Rentekurve'!$D22:D23))*(-F361)*0.2-F155*($C558-0.5)/(1+AVERAGE('Vedlegg 1 - Rentekurve'!$D22:D23))*(F361+$H426),-F155*($C558-0.5)/(1+AVERAGE('Vedlegg 1 - Rentekurve'!$D22:D23))*$H426*0.2),-F155*($C558-0.5)/(1+AVERAGE('Vedlegg 1 - Rentekurve'!$D22:D23))*$H426)</f>
        <v>0</v>
      </c>
      <c r="G558" s="33"/>
      <c r="H558" s="33"/>
      <c r="I558" s="37"/>
    </row>
    <row r="559" spans="1:9" ht="12.75" customHeight="1">
      <c r="A559" s="32"/>
      <c r="B559" s="33"/>
      <c r="C559" s="35">
        <v>15</v>
      </c>
      <c r="D559" s="274">
        <f>IF(D362&gt;0,IF(-$H427&gt;D362,-D156*($C559-0.5)/(1+AVERAGE('Vedlegg 1 - Rentekurve'!$D23:D24))*(D362+$H427)*0.1,0),-D156*($C559-0.5)/(1+AVERAGE('Vedlegg 1 - Rentekurve'!$D23:D24))*$H427*0.1)</f>
        <v>0</v>
      </c>
      <c r="E559" s="274">
        <f>IF(E362&gt;0,IF(-$H427&gt;E362,-E156*($C559-0.5)/(1+AVERAGE('Vedlegg 1 - Rentekurve'!$D23:D24))*(E362+$H427)*0.5,0),-E156*($C559-0.5)/(1+AVERAGE('Vedlegg 1 - Rentekurve'!$D23:D24))*$H427*0.5)</f>
        <v>0</v>
      </c>
      <c r="F559" s="274">
        <f>IF(F362&gt;0,IF(-$H427&gt;F362,-F156*($C559-0.5)/(1+AVERAGE('Vedlegg 1 - Rentekurve'!$D23:D24))*(-F362)*0.2-F156*($C559-0.5)/(1+AVERAGE('Vedlegg 1 - Rentekurve'!$D23:D24))*(F362+$H427),-F156*($C559-0.5)/(1+AVERAGE('Vedlegg 1 - Rentekurve'!$D23:D24))*$H427*0.2),-F156*($C559-0.5)/(1+AVERAGE('Vedlegg 1 - Rentekurve'!$D23:D24))*$H427)</f>
        <v>0</v>
      </c>
      <c r="G559" s="33"/>
      <c r="H559" s="33"/>
      <c r="I559" s="37"/>
    </row>
    <row r="560" spans="1:9" ht="12.75" customHeight="1">
      <c r="A560" s="32"/>
      <c r="B560" s="33"/>
      <c r="C560" s="35">
        <v>16</v>
      </c>
      <c r="D560" s="274">
        <f>IF(D363&gt;0,IF(-$H428&gt;D363,-D157*($C560-0.5)/(1+AVERAGE('Vedlegg 1 - Rentekurve'!$D24:D25))*(D363+$H428)*0.1,0),-D157*($C560-0.5)/(1+AVERAGE('Vedlegg 1 - Rentekurve'!$D24:D25))*$H428*0.1)</f>
        <v>0</v>
      </c>
      <c r="E560" s="274">
        <f>IF(E363&gt;0,IF(-$H428&gt;E363,-E157*($C560-0.5)/(1+AVERAGE('Vedlegg 1 - Rentekurve'!$D24:D25))*(E363+$H428)*0.5,0),-E157*($C560-0.5)/(1+AVERAGE('Vedlegg 1 - Rentekurve'!$D24:D25))*$H428*0.5)</f>
        <v>0</v>
      </c>
      <c r="F560" s="274">
        <f>IF(F363&gt;0,IF(-$H428&gt;F363,-F157*($C560-0.5)/(1+AVERAGE('Vedlegg 1 - Rentekurve'!$D24:D25))*(-F363)*0.2-F157*($C560-0.5)/(1+AVERAGE('Vedlegg 1 - Rentekurve'!$D24:D25))*(F363+$H428),-F157*($C560-0.5)/(1+AVERAGE('Vedlegg 1 - Rentekurve'!$D24:D25))*$H428*0.2),-F157*($C560-0.5)/(1+AVERAGE('Vedlegg 1 - Rentekurve'!$D24:D25))*$H428)</f>
        <v>0</v>
      </c>
      <c r="G560" s="33"/>
      <c r="H560" s="33"/>
      <c r="I560" s="37"/>
    </row>
    <row r="561" spans="1:9" ht="12.75" customHeight="1">
      <c r="A561" s="32"/>
      <c r="B561" s="33"/>
      <c r="C561" s="35">
        <v>17</v>
      </c>
      <c r="D561" s="274">
        <f>IF(D364&gt;0,IF(-$H429&gt;D364,-D158*($C561-0.5)/(1+AVERAGE('Vedlegg 1 - Rentekurve'!$D25:D26))*(D364+$H429)*0.1,0),-D158*($C561-0.5)/(1+AVERAGE('Vedlegg 1 - Rentekurve'!$D25:D26))*$H429*0.1)</f>
        <v>0</v>
      </c>
      <c r="E561" s="274">
        <f>IF(E364&gt;0,IF(-$H429&gt;E364,-E158*($C561-0.5)/(1+AVERAGE('Vedlegg 1 - Rentekurve'!$D25:D26))*(E364+$H429)*0.5,0),-E158*($C561-0.5)/(1+AVERAGE('Vedlegg 1 - Rentekurve'!$D25:D26))*$H429*0.5)</f>
        <v>0</v>
      </c>
      <c r="F561" s="274">
        <f>IF(F364&gt;0,IF(-$H429&gt;F364,-F158*($C561-0.5)/(1+AVERAGE('Vedlegg 1 - Rentekurve'!$D25:D26))*(-F364)*0.2-F158*($C561-0.5)/(1+AVERAGE('Vedlegg 1 - Rentekurve'!$D25:D26))*(F364+$H429),-F158*($C561-0.5)/(1+AVERAGE('Vedlegg 1 - Rentekurve'!$D25:D26))*$H429*0.2),-F158*($C561-0.5)/(1+AVERAGE('Vedlegg 1 - Rentekurve'!$D25:D26))*$H429)</f>
        <v>0</v>
      </c>
      <c r="G561" s="33"/>
      <c r="H561" s="33"/>
      <c r="I561" s="37"/>
    </row>
    <row r="562" spans="1:9" ht="12.75" customHeight="1">
      <c r="A562" s="32"/>
      <c r="B562" s="33"/>
      <c r="C562" s="35">
        <v>18</v>
      </c>
      <c r="D562" s="274">
        <f>IF(D365&gt;0,IF(-$H430&gt;D365,-D159*($C562-0.5)/(1+AVERAGE('Vedlegg 1 - Rentekurve'!$D26:D27))*(D365+$H430)*0.1,0),-D159*($C562-0.5)/(1+AVERAGE('Vedlegg 1 - Rentekurve'!$D26:D27))*$H430*0.1)</f>
        <v>0</v>
      </c>
      <c r="E562" s="274">
        <f>IF(E365&gt;0,IF(-$H430&gt;E365,-E159*($C562-0.5)/(1+AVERAGE('Vedlegg 1 - Rentekurve'!$D26:D27))*(E365+$H430)*0.5,0),-E159*($C562-0.5)/(1+AVERAGE('Vedlegg 1 - Rentekurve'!$D26:D27))*$H430*0.5)</f>
        <v>0</v>
      </c>
      <c r="F562" s="274">
        <f>IF(F365&gt;0,IF(-$H430&gt;F365,-F159*($C562-0.5)/(1+AVERAGE('Vedlegg 1 - Rentekurve'!$D26:D27))*(-F365)*0.2-F159*($C562-0.5)/(1+AVERAGE('Vedlegg 1 - Rentekurve'!$D26:D27))*(F365+$H430),-F159*($C562-0.5)/(1+AVERAGE('Vedlegg 1 - Rentekurve'!$D26:D27))*$H430*0.2),-F159*($C562-0.5)/(1+AVERAGE('Vedlegg 1 - Rentekurve'!$D26:D27))*$H430)</f>
        <v>0</v>
      </c>
      <c r="G562" s="33"/>
      <c r="H562" s="33"/>
      <c r="I562" s="37"/>
    </row>
    <row r="563" spans="1:9" ht="12.75" customHeight="1">
      <c r="A563" s="32"/>
      <c r="B563" s="33"/>
      <c r="C563" s="35">
        <v>19</v>
      </c>
      <c r="D563" s="274">
        <f>IF(D366&gt;0,IF(-$H431&gt;D366,-D160*($C563-0.5)/(1+AVERAGE('Vedlegg 1 - Rentekurve'!$D27:D28))*(D366+$H431)*0.1,0),-D160*($C563-0.5)/(1+AVERAGE('Vedlegg 1 - Rentekurve'!$D27:D28))*$H431*0.1)</f>
        <v>0</v>
      </c>
      <c r="E563" s="274">
        <f>IF(E366&gt;0,IF(-$H431&gt;E366,-E160*($C563-0.5)/(1+AVERAGE('Vedlegg 1 - Rentekurve'!$D27:D28))*(E366+$H431)*0.5,0),-E160*($C563-0.5)/(1+AVERAGE('Vedlegg 1 - Rentekurve'!$D27:D28))*$H431*0.5)</f>
        <v>0</v>
      </c>
      <c r="F563" s="274">
        <f>IF(F366&gt;0,IF(-$H431&gt;F366,-F160*($C563-0.5)/(1+AVERAGE('Vedlegg 1 - Rentekurve'!$D27:D28))*(-F366)*0.2-F160*($C563-0.5)/(1+AVERAGE('Vedlegg 1 - Rentekurve'!$D27:D28))*(F366+$H431),-F160*($C563-0.5)/(1+AVERAGE('Vedlegg 1 - Rentekurve'!$D27:D28))*$H431*0.2),-F160*($C563-0.5)/(1+AVERAGE('Vedlegg 1 - Rentekurve'!$D27:D28))*$H431)</f>
        <v>0</v>
      </c>
      <c r="G563" s="33"/>
      <c r="H563" s="33"/>
      <c r="I563" s="37"/>
    </row>
    <row r="564" spans="1:9" ht="12.75" customHeight="1">
      <c r="A564" s="32"/>
      <c r="B564" s="33"/>
      <c r="C564" s="35">
        <v>20</v>
      </c>
      <c r="D564" s="274">
        <f>IF(D367&gt;0,IF(-$H432&gt;D367,-D161*($C564-0.5)/(1+AVERAGE('Vedlegg 1 - Rentekurve'!$D28:D29))*(D367+$H432)*0.1,0),-D161*($C564-0.5)/(1+AVERAGE('Vedlegg 1 - Rentekurve'!$D28:D29))*$H432*0.1)</f>
        <v>0</v>
      </c>
      <c r="E564" s="274">
        <f>IF(E367&gt;0,IF(-$H432&gt;E367,-E161*($C564-0.5)/(1+AVERAGE('Vedlegg 1 - Rentekurve'!$D28:D29))*(E367+$H432)*0.5,0),-E161*($C564-0.5)/(1+AVERAGE('Vedlegg 1 - Rentekurve'!$D28:D29))*$H432*0.5)</f>
        <v>0</v>
      </c>
      <c r="F564" s="274">
        <f>IF(F367&gt;0,IF(-$H432&gt;F367,-F161*($C564-0.5)/(1+AVERAGE('Vedlegg 1 - Rentekurve'!$D28:D29))*(-F367)*0.2-F161*($C564-0.5)/(1+AVERAGE('Vedlegg 1 - Rentekurve'!$D28:D29))*(F367+$H432),-F161*($C564-0.5)/(1+AVERAGE('Vedlegg 1 - Rentekurve'!$D28:D29))*$H432*0.2),-F161*($C564-0.5)/(1+AVERAGE('Vedlegg 1 - Rentekurve'!$D28:D29))*$H432)</f>
        <v>0</v>
      </c>
      <c r="G564" s="33"/>
      <c r="H564" s="33"/>
      <c r="I564" s="37"/>
    </row>
    <row r="565" spans="1:9" ht="12.75" customHeight="1">
      <c r="A565" s="32"/>
      <c r="B565" s="33"/>
      <c r="C565" s="35">
        <v>21</v>
      </c>
      <c r="D565" s="274">
        <f>IF(D368&gt;0,IF(-$H433&gt;D368,-D162*($C565-0.5)/(1+AVERAGE('Vedlegg 1 - Rentekurve'!$D29:D30))*(D368+$H433)*0.1,0),-D162*($C565-0.5)/(1+AVERAGE('Vedlegg 1 - Rentekurve'!$D29:D30))*$H433*0.1)</f>
        <v>0</v>
      </c>
      <c r="E565" s="274">
        <f>IF(E368&gt;0,IF(-$H433&gt;E368,-E162*($C565-0.5)/(1+AVERAGE('Vedlegg 1 - Rentekurve'!$D29:D30))*(E368+$H433)*0.5,0),-E162*($C565-0.5)/(1+AVERAGE('Vedlegg 1 - Rentekurve'!$D29:D30))*$H433*0.5)</f>
        <v>0</v>
      </c>
      <c r="F565" s="274">
        <f>IF(F368&gt;0,IF(-$H433&gt;F368,-F162*($C565-0.5)/(1+AVERAGE('Vedlegg 1 - Rentekurve'!$D29:D30))*(-F368)*0.2-F162*($C565-0.5)/(1+AVERAGE('Vedlegg 1 - Rentekurve'!$D29:D30))*(F368+$H433),-F162*($C565-0.5)/(1+AVERAGE('Vedlegg 1 - Rentekurve'!$D29:D30))*$H433*0.2),-F162*($C565-0.5)/(1+AVERAGE('Vedlegg 1 - Rentekurve'!$D29:D30))*$H433)</f>
        <v>0</v>
      </c>
      <c r="G565" s="33"/>
      <c r="H565" s="33"/>
      <c r="I565" s="37"/>
    </row>
    <row r="566" spans="1:9" ht="12.75" customHeight="1">
      <c r="A566" s="32"/>
      <c r="B566" s="33"/>
      <c r="C566" s="35">
        <v>22</v>
      </c>
      <c r="D566" s="274">
        <f>IF(D369&gt;0,IF(-$H434&gt;D369,-D163*($C566-0.5)/(1+AVERAGE('Vedlegg 1 - Rentekurve'!$D30:D31))*(D369+$H434)*0.1,0),-D163*($C566-0.5)/(1+AVERAGE('Vedlegg 1 - Rentekurve'!$D30:D31))*$H434*0.1)</f>
        <v>0</v>
      </c>
      <c r="E566" s="274">
        <f>IF(E369&gt;0,IF(-$H434&gt;E369,-E163*($C566-0.5)/(1+AVERAGE('Vedlegg 1 - Rentekurve'!$D30:D31))*(E369+$H434)*0.5,0),-E163*($C566-0.5)/(1+AVERAGE('Vedlegg 1 - Rentekurve'!$D30:D31))*$H434*0.5)</f>
        <v>0</v>
      </c>
      <c r="F566" s="274">
        <f>IF(F369&gt;0,IF(-$H434&gt;F369,-F163*($C566-0.5)/(1+AVERAGE('Vedlegg 1 - Rentekurve'!$D30:D31))*(-F369)*0.2-F163*($C566-0.5)/(1+AVERAGE('Vedlegg 1 - Rentekurve'!$D30:D31))*(F369+$H434),-F163*($C566-0.5)/(1+AVERAGE('Vedlegg 1 - Rentekurve'!$D30:D31))*$H434*0.2),-F163*($C566-0.5)/(1+AVERAGE('Vedlegg 1 - Rentekurve'!$D30:D31))*$H434)</f>
        <v>0</v>
      </c>
      <c r="G566" s="33"/>
      <c r="H566" s="33"/>
      <c r="I566" s="37"/>
    </row>
    <row r="567" spans="1:9" ht="12.75" customHeight="1">
      <c r="A567" s="32"/>
      <c r="B567" s="33"/>
      <c r="C567" s="35">
        <v>23</v>
      </c>
      <c r="D567" s="274">
        <f>IF(D370&gt;0,IF(-$H435&gt;D370,-D164*($C567-0.5)/(1+AVERAGE('Vedlegg 1 - Rentekurve'!$D31:D32))*(D370+$H435)*0.1,0),-D164*($C567-0.5)/(1+AVERAGE('Vedlegg 1 - Rentekurve'!$D31:D32))*$H435*0.1)</f>
        <v>0</v>
      </c>
      <c r="E567" s="274">
        <f>IF(E370&gt;0,IF(-$H435&gt;E370,-E164*($C567-0.5)/(1+AVERAGE('Vedlegg 1 - Rentekurve'!$D31:D32))*(E370+$H435)*0.5,0),-E164*($C567-0.5)/(1+AVERAGE('Vedlegg 1 - Rentekurve'!$D31:D32))*$H435*0.5)</f>
        <v>0</v>
      </c>
      <c r="F567" s="274">
        <f>IF(F370&gt;0,IF(-$H435&gt;F370,-F164*($C567-0.5)/(1+AVERAGE('Vedlegg 1 - Rentekurve'!$D31:D32))*(-F370)*0.2-F164*($C567-0.5)/(1+AVERAGE('Vedlegg 1 - Rentekurve'!$D31:D32))*(F370+$H435),-F164*($C567-0.5)/(1+AVERAGE('Vedlegg 1 - Rentekurve'!$D31:D32))*$H435*0.2),-F164*($C567-0.5)/(1+AVERAGE('Vedlegg 1 - Rentekurve'!$D31:D32))*$H435)</f>
        <v>0</v>
      </c>
      <c r="G567" s="33"/>
      <c r="H567" s="33"/>
      <c r="I567" s="37"/>
    </row>
    <row r="568" spans="1:9" ht="12.75" customHeight="1">
      <c r="A568" s="32"/>
      <c r="B568" s="33"/>
      <c r="C568" s="35">
        <v>24</v>
      </c>
      <c r="D568" s="274">
        <f>IF(D371&gt;0,IF(-$H436&gt;D371,-D165*($C568-0.5)/(1+AVERAGE('Vedlegg 1 - Rentekurve'!$D32:D33))*(D371+$H436)*0.1,0),-D165*($C568-0.5)/(1+AVERAGE('Vedlegg 1 - Rentekurve'!$D32:D33))*$H436*0.1)</f>
        <v>0</v>
      </c>
      <c r="E568" s="274">
        <f>IF(E371&gt;0,IF(-$H436&gt;E371,-E165*($C568-0.5)/(1+AVERAGE('Vedlegg 1 - Rentekurve'!$D32:D33))*(E371+$H436)*0.5,0),-E165*($C568-0.5)/(1+AVERAGE('Vedlegg 1 - Rentekurve'!$D32:D33))*$H436*0.5)</f>
        <v>0</v>
      </c>
      <c r="F568" s="274">
        <f>IF(F371&gt;0,IF(-$H436&gt;F371,-F165*($C568-0.5)/(1+AVERAGE('Vedlegg 1 - Rentekurve'!$D32:D33))*(-F371)*0.2-F165*($C568-0.5)/(1+AVERAGE('Vedlegg 1 - Rentekurve'!$D32:D33))*(F371+$H436),-F165*($C568-0.5)/(1+AVERAGE('Vedlegg 1 - Rentekurve'!$D32:D33))*$H436*0.2),-F165*($C568-0.5)/(1+AVERAGE('Vedlegg 1 - Rentekurve'!$D32:D33))*$H436)</f>
        <v>0</v>
      </c>
      <c r="G568" s="33"/>
      <c r="H568" s="33"/>
      <c r="I568" s="37"/>
    </row>
    <row r="569" spans="1:9" ht="12.75" customHeight="1">
      <c r="A569" s="32"/>
      <c r="B569" s="33"/>
      <c r="C569" s="35">
        <v>25</v>
      </c>
      <c r="D569" s="274">
        <f>IF(D372&gt;0,IF(-$H437&gt;D372,-D166*($C569-0.5)/(1+AVERAGE('Vedlegg 1 - Rentekurve'!$D33:D34))*(D372+$H437)*0.1,0),-D166*($C569-0.5)/(1+AVERAGE('Vedlegg 1 - Rentekurve'!$D33:D34))*$H437*0.1)</f>
        <v>0</v>
      </c>
      <c r="E569" s="274">
        <f>IF(E372&gt;0,IF(-$H437&gt;E372,-E166*($C569-0.5)/(1+AVERAGE('Vedlegg 1 - Rentekurve'!$D33:D34))*(E372+$H437)*0.5,0),-E166*($C569-0.5)/(1+AVERAGE('Vedlegg 1 - Rentekurve'!$D33:D34))*$H437*0.5)</f>
        <v>0</v>
      </c>
      <c r="F569" s="274">
        <f>IF(F372&gt;0,IF(-$H437&gt;F372,-F166*($C569-0.5)/(1+AVERAGE('Vedlegg 1 - Rentekurve'!$D33:D34))*(-F372)*0.2-F166*($C569-0.5)/(1+AVERAGE('Vedlegg 1 - Rentekurve'!$D33:D34))*(F372+$H437),-F166*($C569-0.5)/(1+AVERAGE('Vedlegg 1 - Rentekurve'!$D33:D34))*$H437*0.2),-F166*($C569-0.5)/(1+AVERAGE('Vedlegg 1 - Rentekurve'!$D33:D34))*$H437)</f>
        <v>0</v>
      </c>
      <c r="G569" s="33"/>
      <c r="H569" s="33"/>
      <c r="I569" s="37"/>
    </row>
    <row r="570" spans="1:9" ht="12.75" customHeight="1">
      <c r="A570" s="32"/>
      <c r="B570" s="33"/>
      <c r="C570" s="35">
        <v>26</v>
      </c>
      <c r="D570" s="274">
        <f>IF(D373&gt;0,IF(-$H438&gt;D373,-D167*($C570-0.5)/(1+AVERAGE('Vedlegg 1 - Rentekurve'!$D34:D35))*(D373+$H438)*0.1,0),-D167*($C570-0.5)/(1+AVERAGE('Vedlegg 1 - Rentekurve'!$D34:D35))*$H438*0.1)</f>
        <v>0</v>
      </c>
      <c r="E570" s="274">
        <f>IF(E373&gt;0,IF(-$H438&gt;E373,-E167*($C570-0.5)/(1+AVERAGE('Vedlegg 1 - Rentekurve'!$D34:D35))*(E373+$H438)*0.5,0),-E167*($C570-0.5)/(1+AVERAGE('Vedlegg 1 - Rentekurve'!$D34:D35))*$H438*0.5)</f>
        <v>0</v>
      </c>
      <c r="F570" s="274">
        <f>IF(F373&gt;0,IF(-$H438&gt;F373,-F167*($C570-0.5)/(1+AVERAGE('Vedlegg 1 - Rentekurve'!$D34:D35))*(-F373)*0.2-F167*($C570-0.5)/(1+AVERAGE('Vedlegg 1 - Rentekurve'!$D34:D35))*(F373+$H438),-F167*($C570-0.5)/(1+AVERAGE('Vedlegg 1 - Rentekurve'!$D34:D35))*$H438*0.2),-F167*($C570-0.5)/(1+AVERAGE('Vedlegg 1 - Rentekurve'!$D34:D35))*$H438)</f>
        <v>0</v>
      </c>
      <c r="G570" s="33"/>
      <c r="H570" s="33"/>
      <c r="I570" s="37"/>
    </row>
    <row r="571" spans="1:9" ht="12.75" customHeight="1">
      <c r="A571" s="32"/>
      <c r="B571" s="33"/>
      <c r="C571" s="35">
        <v>27</v>
      </c>
      <c r="D571" s="274">
        <f>IF(D374&gt;0,IF(-$H439&gt;D374,-D168*($C571-0.5)/(1+AVERAGE('Vedlegg 1 - Rentekurve'!$D35:D36))*(D374+$H439)*0.1,0),-D168*($C571-0.5)/(1+AVERAGE('Vedlegg 1 - Rentekurve'!$D35:D36))*$H439*0.1)</f>
        <v>0</v>
      </c>
      <c r="E571" s="274">
        <f>IF(E374&gt;0,IF(-$H439&gt;E374,-E168*($C571-0.5)/(1+AVERAGE('Vedlegg 1 - Rentekurve'!$D35:D36))*(E374+$H439)*0.5,0),-E168*($C571-0.5)/(1+AVERAGE('Vedlegg 1 - Rentekurve'!$D35:D36))*$H439*0.5)</f>
        <v>0</v>
      </c>
      <c r="F571" s="274">
        <f>IF(F374&gt;0,IF(-$H439&gt;F374,-F168*($C571-0.5)/(1+AVERAGE('Vedlegg 1 - Rentekurve'!$D35:D36))*(-F374)*0.2-F168*($C571-0.5)/(1+AVERAGE('Vedlegg 1 - Rentekurve'!$D35:D36))*(F374+$H439),-F168*($C571-0.5)/(1+AVERAGE('Vedlegg 1 - Rentekurve'!$D35:D36))*$H439*0.2),-F168*($C571-0.5)/(1+AVERAGE('Vedlegg 1 - Rentekurve'!$D35:D36))*$H439)</f>
        <v>0</v>
      </c>
      <c r="G571" s="33"/>
      <c r="H571" s="33"/>
      <c r="I571" s="37"/>
    </row>
    <row r="572" spans="1:9" ht="12.75" customHeight="1">
      <c r="A572" s="32"/>
      <c r="B572" s="33"/>
      <c r="C572" s="35">
        <v>28</v>
      </c>
      <c r="D572" s="274">
        <f>IF(D375&gt;0,IF(-$H440&gt;D375,-D169*($C572-0.5)/(1+AVERAGE('Vedlegg 1 - Rentekurve'!$D36:D37))*(D375+$H440)*0.1,0),-D169*($C572-0.5)/(1+AVERAGE('Vedlegg 1 - Rentekurve'!$D36:D37))*$H440*0.1)</f>
        <v>0</v>
      </c>
      <c r="E572" s="274">
        <f>IF(E375&gt;0,IF(-$H440&gt;E375,-E169*($C572-0.5)/(1+AVERAGE('Vedlegg 1 - Rentekurve'!$D36:D37))*(E375+$H440)*0.5,0),-E169*($C572-0.5)/(1+AVERAGE('Vedlegg 1 - Rentekurve'!$D36:D37))*$H440*0.5)</f>
        <v>0</v>
      </c>
      <c r="F572" s="274">
        <f>IF(F375&gt;0,IF(-$H440&gt;F375,-F169*($C572-0.5)/(1+AVERAGE('Vedlegg 1 - Rentekurve'!$D36:D37))*(-F375)*0.2-F169*($C572-0.5)/(1+AVERAGE('Vedlegg 1 - Rentekurve'!$D36:D37))*(F375+$H440),-F169*($C572-0.5)/(1+AVERAGE('Vedlegg 1 - Rentekurve'!$D36:D37))*$H440*0.2),-F169*($C572-0.5)/(1+AVERAGE('Vedlegg 1 - Rentekurve'!$D36:D37))*$H440)</f>
        <v>0</v>
      </c>
      <c r="G572" s="33"/>
      <c r="H572" s="33"/>
      <c r="I572" s="37"/>
    </row>
    <row r="573" spans="1:9" ht="12.75" customHeight="1">
      <c r="A573" s="32"/>
      <c r="B573" s="33"/>
      <c r="C573" s="35">
        <v>29</v>
      </c>
      <c r="D573" s="274">
        <f>IF(D376&gt;0,IF(-$H441&gt;D376,-D170*($C573-0.5)/(1+AVERAGE('Vedlegg 1 - Rentekurve'!$D37:D38))*(D376+$H441)*0.1,0),-D170*($C573-0.5)/(1+AVERAGE('Vedlegg 1 - Rentekurve'!$D37:D38))*$H441*0.1)</f>
        <v>0</v>
      </c>
      <c r="E573" s="274">
        <f>IF(E376&gt;0,IF(-$H441&gt;E376,-E170*($C573-0.5)/(1+AVERAGE('Vedlegg 1 - Rentekurve'!$D37:D38))*(E376+$H441)*0.5,0),-E170*($C573-0.5)/(1+AVERAGE('Vedlegg 1 - Rentekurve'!$D37:D38))*$H441*0.5)</f>
        <v>0</v>
      </c>
      <c r="F573" s="274">
        <f>IF(F376&gt;0,IF(-$H441&gt;F376,-F170*($C573-0.5)/(1+AVERAGE('Vedlegg 1 - Rentekurve'!$D37:D38))*(-F376)*0.2-F170*($C573-0.5)/(1+AVERAGE('Vedlegg 1 - Rentekurve'!$D37:D38))*(F376+$H441),-F170*($C573-0.5)/(1+AVERAGE('Vedlegg 1 - Rentekurve'!$D37:D38))*$H441*0.2),-F170*($C573-0.5)/(1+AVERAGE('Vedlegg 1 - Rentekurve'!$D37:D38))*$H441)</f>
        <v>0</v>
      </c>
      <c r="G573" s="33"/>
      <c r="H573" s="33"/>
      <c r="I573" s="37"/>
    </row>
    <row r="574" spans="1:9" ht="12.75" customHeight="1">
      <c r="A574" s="32"/>
      <c r="B574" s="33"/>
      <c r="C574" s="35">
        <v>30</v>
      </c>
      <c r="D574" s="274">
        <f>IF(D377&gt;0,IF(-$H442&gt;D377,-D171*($C574-0.5)/(1+AVERAGE('Vedlegg 1 - Rentekurve'!$D38:D39))*(D377+$H442)*0.1,0),-D171*($C574-0.5)/(1+AVERAGE('Vedlegg 1 - Rentekurve'!$D38:D39))*$H442*0.1)</f>
        <v>0</v>
      </c>
      <c r="E574" s="274">
        <f>IF(E377&gt;0,IF(-$H442&gt;E377,-E171*($C574-0.5)/(1+AVERAGE('Vedlegg 1 - Rentekurve'!$D38:D39))*(E377+$H442)*0.5,0),-E171*($C574-0.5)/(1+AVERAGE('Vedlegg 1 - Rentekurve'!$D38:D39))*$H442*0.5)</f>
        <v>0</v>
      </c>
      <c r="F574" s="274">
        <f>IF(F377&gt;0,IF(-$H442&gt;F377,-F171*($C574-0.5)/(1+AVERAGE('Vedlegg 1 - Rentekurve'!$D38:D39))*(-F377)*0.2-F171*($C574-0.5)/(1+AVERAGE('Vedlegg 1 - Rentekurve'!$D38:D39))*(F377+$H442),-F171*($C574-0.5)/(1+AVERAGE('Vedlegg 1 - Rentekurve'!$D38:D39))*$H442*0.2),-F171*($C574-0.5)/(1+AVERAGE('Vedlegg 1 - Rentekurve'!$D38:D39))*$H442)</f>
        <v>0</v>
      </c>
      <c r="G574" s="33"/>
      <c r="H574" s="33"/>
      <c r="I574" s="37"/>
    </row>
    <row r="575" spans="1:9" ht="12.75" customHeight="1">
      <c r="A575" s="32"/>
      <c r="B575" s="33"/>
      <c r="C575" s="35">
        <v>31</v>
      </c>
      <c r="D575" s="274">
        <f>IF(D378&gt;0,IF(-$H443&gt;D378,-D172*($C575-0.5)/(1+AVERAGE('Vedlegg 1 - Rentekurve'!$D39:D40))*(D378+$H443)*0.1,0),-D172*($C575-0.5)/(1+AVERAGE('Vedlegg 1 - Rentekurve'!$D39:D40))*$H443*0.1)</f>
        <v>0</v>
      </c>
      <c r="E575" s="274">
        <f>IF(E378&gt;0,IF(-$H443&gt;E378,-E172*($C575-0.5)/(1+AVERAGE('Vedlegg 1 - Rentekurve'!$D39:D40))*(E378+$H443)*0.5,0),-E172*($C575-0.5)/(1+AVERAGE('Vedlegg 1 - Rentekurve'!$D39:D40))*$H443*0.5)</f>
        <v>0</v>
      </c>
      <c r="F575" s="274">
        <f>IF(F378&gt;0,IF(-$H443&gt;F378,-F172*($C575-0.5)/(1+AVERAGE('Vedlegg 1 - Rentekurve'!$D39:D40))*(-F378)*0.2-F172*($C575-0.5)/(1+AVERAGE('Vedlegg 1 - Rentekurve'!$D39:D40))*(F378+$H443),-F172*($C575-0.5)/(1+AVERAGE('Vedlegg 1 - Rentekurve'!$D39:D40))*$H443*0.2),-F172*($C575-0.5)/(1+AVERAGE('Vedlegg 1 - Rentekurve'!$D39:D40))*$H443)</f>
        <v>0</v>
      </c>
      <c r="G575" s="33"/>
      <c r="H575" s="33"/>
      <c r="I575" s="37"/>
    </row>
    <row r="576" spans="1:9" ht="12.75" customHeight="1">
      <c r="A576" s="32"/>
      <c r="B576" s="33"/>
      <c r="C576" s="35">
        <v>32</v>
      </c>
      <c r="D576" s="274">
        <f>IF(D379&gt;0,IF(-$H444&gt;D379,-D173*($C576-0.5)/(1+AVERAGE('Vedlegg 1 - Rentekurve'!$D40:D41))*(D379+$H444)*0.1,0),-D173*($C576-0.5)/(1+AVERAGE('Vedlegg 1 - Rentekurve'!$D40:D41))*$H444*0.1)</f>
        <v>0</v>
      </c>
      <c r="E576" s="274">
        <f>IF(E379&gt;0,IF(-$H444&gt;E379,-E173*($C576-0.5)/(1+AVERAGE('Vedlegg 1 - Rentekurve'!$D40:D41))*(E379+$H444)*0.5,0),-E173*($C576-0.5)/(1+AVERAGE('Vedlegg 1 - Rentekurve'!$D40:D41))*$H444*0.5)</f>
        <v>0</v>
      </c>
      <c r="F576" s="274">
        <f>IF(F379&gt;0,IF(-$H444&gt;F379,-F173*($C576-0.5)/(1+AVERAGE('Vedlegg 1 - Rentekurve'!$D40:D41))*(-F379)*0.2-F173*($C576-0.5)/(1+AVERAGE('Vedlegg 1 - Rentekurve'!$D40:D41))*(F379+$H444),-F173*($C576-0.5)/(1+AVERAGE('Vedlegg 1 - Rentekurve'!$D40:D41))*$H444*0.2),-F173*($C576-0.5)/(1+AVERAGE('Vedlegg 1 - Rentekurve'!$D40:D41))*$H444)</f>
        <v>0</v>
      </c>
      <c r="G576" s="33"/>
      <c r="H576" s="33"/>
      <c r="I576" s="37"/>
    </row>
    <row r="577" spans="1:9" ht="12.75" customHeight="1">
      <c r="A577" s="32"/>
      <c r="B577" s="33"/>
      <c r="C577" s="35">
        <v>33</v>
      </c>
      <c r="D577" s="274">
        <f>IF(D380&gt;0,IF(-$H445&gt;D380,-D174*($C577-0.5)/(1+AVERAGE('Vedlegg 1 - Rentekurve'!$D41:D42))*(D380+$H445)*0.1,0),-D174*($C577-0.5)/(1+AVERAGE('Vedlegg 1 - Rentekurve'!$D41:D42))*$H445*0.1)</f>
        <v>0</v>
      </c>
      <c r="E577" s="274">
        <f>IF(E380&gt;0,IF(-$H445&gt;E380,-E174*($C577-0.5)/(1+AVERAGE('Vedlegg 1 - Rentekurve'!$D41:D42))*(E380+$H445)*0.5,0),-E174*($C577-0.5)/(1+AVERAGE('Vedlegg 1 - Rentekurve'!$D41:D42))*$H445*0.5)</f>
        <v>0</v>
      </c>
      <c r="F577" s="274">
        <f>IF(F380&gt;0,IF(-$H445&gt;F380,-F174*($C577-0.5)/(1+AVERAGE('Vedlegg 1 - Rentekurve'!$D41:D42))*(-F380)*0.2-F174*($C577-0.5)/(1+AVERAGE('Vedlegg 1 - Rentekurve'!$D41:D42))*(F380+$H445),-F174*($C577-0.5)/(1+AVERAGE('Vedlegg 1 - Rentekurve'!$D41:D42))*$H445*0.2),-F174*($C577-0.5)/(1+AVERAGE('Vedlegg 1 - Rentekurve'!$D41:D42))*$H445)</f>
        <v>0</v>
      </c>
      <c r="G577" s="33"/>
      <c r="H577" s="33"/>
      <c r="I577" s="37"/>
    </row>
    <row r="578" spans="1:9" ht="12.75" customHeight="1">
      <c r="A578" s="32"/>
      <c r="B578" s="33"/>
      <c r="C578" s="35">
        <v>34</v>
      </c>
      <c r="D578" s="274">
        <f>IF(D381&gt;0,IF(-$H446&gt;D381,-D175*($C578-0.5)/(1+AVERAGE('Vedlegg 1 - Rentekurve'!$D42:D43))*(D381+$H446)*0.1,0),-D175*($C578-0.5)/(1+AVERAGE('Vedlegg 1 - Rentekurve'!$D42:D43))*$H446*0.1)</f>
        <v>0</v>
      </c>
      <c r="E578" s="274">
        <f>IF(E381&gt;0,IF(-$H446&gt;E381,-E175*($C578-0.5)/(1+AVERAGE('Vedlegg 1 - Rentekurve'!$D42:D43))*(E381+$H446)*0.5,0),-E175*($C578-0.5)/(1+AVERAGE('Vedlegg 1 - Rentekurve'!$D42:D43))*$H446*0.5)</f>
        <v>0</v>
      </c>
      <c r="F578" s="274">
        <f>IF(F381&gt;0,IF(-$H446&gt;F381,-F175*($C578-0.5)/(1+AVERAGE('Vedlegg 1 - Rentekurve'!$D42:D43))*(-F381)*0.2-F175*($C578-0.5)/(1+AVERAGE('Vedlegg 1 - Rentekurve'!$D42:D43))*(F381+$H446),-F175*($C578-0.5)/(1+AVERAGE('Vedlegg 1 - Rentekurve'!$D42:D43))*$H446*0.2),-F175*($C578-0.5)/(1+AVERAGE('Vedlegg 1 - Rentekurve'!$D42:D43))*$H446)</f>
        <v>0</v>
      </c>
      <c r="G578" s="33"/>
      <c r="H578" s="33"/>
      <c r="I578" s="37"/>
    </row>
    <row r="579" spans="1:9" ht="12.75" customHeight="1">
      <c r="A579" s="32"/>
      <c r="B579" s="33"/>
      <c r="C579" s="35">
        <v>35</v>
      </c>
      <c r="D579" s="274">
        <f>IF(D382&gt;0,IF(-$H447&gt;D382,-D176*($C579-0.5)/(1+AVERAGE('Vedlegg 1 - Rentekurve'!$D43:D44))*(D382+$H447)*0.1,0),-D176*($C579-0.5)/(1+AVERAGE('Vedlegg 1 - Rentekurve'!$D43:D44))*$H447*0.1)</f>
        <v>0</v>
      </c>
      <c r="E579" s="274">
        <f>IF(E382&gt;0,IF(-$H447&gt;E382,-E176*($C579-0.5)/(1+AVERAGE('Vedlegg 1 - Rentekurve'!$D43:D44))*(E382+$H447)*0.5,0),-E176*($C579-0.5)/(1+AVERAGE('Vedlegg 1 - Rentekurve'!$D43:D44))*$H447*0.5)</f>
        <v>0</v>
      </c>
      <c r="F579" s="274">
        <f>IF(F382&gt;0,IF(-$H447&gt;F382,-F176*($C579-0.5)/(1+AVERAGE('Vedlegg 1 - Rentekurve'!$D43:D44))*(-F382)*0.2-F176*($C579-0.5)/(1+AVERAGE('Vedlegg 1 - Rentekurve'!$D43:D44))*(F382+$H447),-F176*($C579-0.5)/(1+AVERAGE('Vedlegg 1 - Rentekurve'!$D43:D44))*$H447*0.2),-F176*($C579-0.5)/(1+AVERAGE('Vedlegg 1 - Rentekurve'!$D43:D44))*$H447)</f>
        <v>0</v>
      </c>
      <c r="G579" s="33"/>
      <c r="H579" s="33"/>
      <c r="I579" s="37"/>
    </row>
    <row r="580" spans="1:9" ht="12.75" customHeight="1">
      <c r="A580" s="32"/>
      <c r="B580" s="33"/>
      <c r="C580" s="35">
        <v>36</v>
      </c>
      <c r="D580" s="274">
        <f>IF(D383&gt;0,IF(-$H448&gt;D383,-D177*($C580-0.5)/(1+AVERAGE('Vedlegg 1 - Rentekurve'!$D44:D45))*(D383+$H448)*0.1,0),-D177*($C580-0.5)/(1+AVERAGE('Vedlegg 1 - Rentekurve'!$D44:D45))*$H448*0.1)</f>
        <v>0</v>
      </c>
      <c r="E580" s="274">
        <f>IF(E383&gt;0,IF(-$H448&gt;E383,-E177*($C580-0.5)/(1+AVERAGE('Vedlegg 1 - Rentekurve'!$D44:D45))*(E383+$H448)*0.5,0),-E177*($C580-0.5)/(1+AVERAGE('Vedlegg 1 - Rentekurve'!$D44:D45))*$H448*0.5)</f>
        <v>0</v>
      </c>
      <c r="F580" s="274">
        <f>IF(F383&gt;0,IF(-$H448&gt;F383,-F177*($C580-0.5)/(1+AVERAGE('Vedlegg 1 - Rentekurve'!$D44:D45))*(-F383)*0.2-F177*($C580-0.5)/(1+AVERAGE('Vedlegg 1 - Rentekurve'!$D44:D45))*(F383+$H448),-F177*($C580-0.5)/(1+AVERAGE('Vedlegg 1 - Rentekurve'!$D44:D45))*$H448*0.2),-F177*($C580-0.5)/(1+AVERAGE('Vedlegg 1 - Rentekurve'!$D44:D45))*$H448)</f>
        <v>0</v>
      </c>
      <c r="G580" s="33"/>
      <c r="H580" s="33"/>
      <c r="I580" s="37"/>
    </row>
    <row r="581" spans="1:9" ht="12.75" customHeight="1">
      <c r="A581" s="32"/>
      <c r="B581" s="33"/>
      <c r="C581" s="35">
        <v>37</v>
      </c>
      <c r="D581" s="274">
        <f>IF(D384&gt;0,IF(-$H449&gt;D384,-D178*($C581-0.5)/(1+AVERAGE('Vedlegg 1 - Rentekurve'!$D45:D46))*(D384+$H449)*0.1,0),-D178*($C581-0.5)/(1+AVERAGE('Vedlegg 1 - Rentekurve'!$D45:D46))*$H449*0.1)</f>
        <v>0</v>
      </c>
      <c r="E581" s="274">
        <f>IF(E384&gt;0,IF(-$H449&gt;E384,-E178*($C581-0.5)/(1+AVERAGE('Vedlegg 1 - Rentekurve'!$D45:D46))*(E384+$H449)*0.5,0),-E178*($C581-0.5)/(1+AVERAGE('Vedlegg 1 - Rentekurve'!$D45:D46))*$H449*0.5)</f>
        <v>0</v>
      </c>
      <c r="F581" s="274">
        <f>IF(F384&gt;0,IF(-$H449&gt;F384,-F178*($C581-0.5)/(1+AVERAGE('Vedlegg 1 - Rentekurve'!$D45:D46))*(-F384)*0.2-F178*($C581-0.5)/(1+AVERAGE('Vedlegg 1 - Rentekurve'!$D45:D46))*(F384+$H449),-F178*($C581-0.5)/(1+AVERAGE('Vedlegg 1 - Rentekurve'!$D45:D46))*$H449*0.2),-F178*($C581-0.5)/(1+AVERAGE('Vedlegg 1 - Rentekurve'!$D45:D46))*$H449)</f>
        <v>0</v>
      </c>
      <c r="G581" s="33"/>
      <c r="H581" s="33"/>
      <c r="I581" s="37"/>
    </row>
    <row r="582" spans="1:9" ht="12.75" customHeight="1">
      <c r="A582" s="32"/>
      <c r="B582" s="33"/>
      <c r="C582" s="35">
        <v>38</v>
      </c>
      <c r="D582" s="274">
        <f>IF(D385&gt;0,IF(-$H450&gt;D385,-D179*($C582-0.5)/(1+AVERAGE('Vedlegg 1 - Rentekurve'!$D46:D47))*(D385+$H450)*0.1,0),-D179*($C582-0.5)/(1+AVERAGE('Vedlegg 1 - Rentekurve'!$D46:D47))*$H450*0.1)</f>
        <v>0</v>
      </c>
      <c r="E582" s="274">
        <f>IF(E385&gt;0,IF(-$H450&gt;E385,-E179*($C582-0.5)/(1+AVERAGE('Vedlegg 1 - Rentekurve'!$D46:D47))*(E385+$H450)*0.5,0),-E179*($C582-0.5)/(1+AVERAGE('Vedlegg 1 - Rentekurve'!$D46:D47))*$H450*0.5)</f>
        <v>0</v>
      </c>
      <c r="F582" s="274">
        <f>IF(F385&gt;0,IF(-$H450&gt;F385,-F179*($C582-0.5)/(1+AVERAGE('Vedlegg 1 - Rentekurve'!$D46:D47))*(-F385)*0.2-F179*($C582-0.5)/(1+AVERAGE('Vedlegg 1 - Rentekurve'!$D46:D47))*(F385+$H450),-F179*($C582-0.5)/(1+AVERAGE('Vedlegg 1 - Rentekurve'!$D46:D47))*$H450*0.2),-F179*($C582-0.5)/(1+AVERAGE('Vedlegg 1 - Rentekurve'!$D46:D47))*$H450)</f>
        <v>0</v>
      </c>
      <c r="G582" s="33"/>
      <c r="H582" s="33"/>
      <c r="I582" s="37"/>
    </row>
    <row r="583" spans="1:9" ht="12.75" customHeight="1">
      <c r="A583" s="32"/>
      <c r="B583" s="33"/>
      <c r="C583" s="35">
        <v>39</v>
      </c>
      <c r="D583" s="274">
        <f>IF(D386&gt;0,IF(-$H451&gt;D386,-D180*($C583-0.5)/(1+AVERAGE('Vedlegg 1 - Rentekurve'!$D47:D48))*(D386+$H451)*0.1,0),-D180*($C583-0.5)/(1+AVERAGE('Vedlegg 1 - Rentekurve'!$D47:D48))*$H451*0.1)</f>
        <v>0</v>
      </c>
      <c r="E583" s="274">
        <f>IF(E386&gt;0,IF(-$H451&gt;E386,-E180*($C583-0.5)/(1+AVERAGE('Vedlegg 1 - Rentekurve'!$D47:D48))*(E386+$H451)*0.5,0),-E180*($C583-0.5)/(1+AVERAGE('Vedlegg 1 - Rentekurve'!$D47:D48))*$H451*0.5)</f>
        <v>0</v>
      </c>
      <c r="F583" s="274">
        <f>IF(F386&gt;0,IF(-$H451&gt;F386,-F180*($C583-0.5)/(1+AVERAGE('Vedlegg 1 - Rentekurve'!$D47:D48))*(-F386)*0.2-F180*($C583-0.5)/(1+AVERAGE('Vedlegg 1 - Rentekurve'!$D47:D48))*(F386+$H451),-F180*($C583-0.5)/(1+AVERAGE('Vedlegg 1 - Rentekurve'!$D47:D48))*$H451*0.2),-F180*($C583-0.5)/(1+AVERAGE('Vedlegg 1 - Rentekurve'!$D47:D48))*$H451)</f>
        <v>0</v>
      </c>
      <c r="G583" s="33"/>
      <c r="H583" s="33"/>
      <c r="I583" s="37"/>
    </row>
    <row r="584" spans="1:9" ht="12.75" customHeight="1">
      <c r="A584" s="32"/>
      <c r="B584" s="33"/>
      <c r="C584" s="35">
        <v>40</v>
      </c>
      <c r="D584" s="274">
        <f>IF(D387&gt;0,IF(-$H452&gt;D387,-D181*($C584-0.5)/(1+AVERAGE('Vedlegg 1 - Rentekurve'!$D48:D49))*(D387+$H452)*0.1,0),-D181*($C584-0.5)/(1+AVERAGE('Vedlegg 1 - Rentekurve'!$D48:D49))*$H452*0.1)</f>
        <v>0</v>
      </c>
      <c r="E584" s="274">
        <f>IF(E387&gt;0,IF(-$H452&gt;E387,-E181*($C584-0.5)/(1+AVERAGE('Vedlegg 1 - Rentekurve'!$D48:D49))*(E387+$H452)*0.5,0),-E181*($C584-0.5)/(1+AVERAGE('Vedlegg 1 - Rentekurve'!$D48:D49))*$H452*0.5)</f>
        <v>0</v>
      </c>
      <c r="F584" s="274">
        <f>IF(F387&gt;0,IF(-$H452&gt;F387,-F181*($C584-0.5)/(1+AVERAGE('Vedlegg 1 - Rentekurve'!$D48:D49))*(-F387)*0.2-F181*($C584-0.5)/(1+AVERAGE('Vedlegg 1 - Rentekurve'!$D48:D49))*(F387+$H452),-F181*($C584-0.5)/(1+AVERAGE('Vedlegg 1 - Rentekurve'!$D48:D49))*$H452*0.2),-F181*($C584-0.5)/(1+AVERAGE('Vedlegg 1 - Rentekurve'!$D48:D49))*$H452)</f>
        <v>0</v>
      </c>
      <c r="G584" s="33"/>
      <c r="H584" s="33"/>
      <c r="I584" s="37"/>
    </row>
    <row r="585" spans="1:9" ht="12.75" customHeight="1">
      <c r="A585" s="32"/>
      <c r="B585" s="33"/>
      <c r="C585" s="35">
        <v>41</v>
      </c>
      <c r="D585" s="274">
        <f>IF(D388&gt;0,IF(-$H453&gt;D388,-D182*($C585-0.5)/(1+AVERAGE('Vedlegg 1 - Rentekurve'!$D49:D50))*(D388+$H453)*0.1,0),-D182*($C585-0.5)/(1+AVERAGE('Vedlegg 1 - Rentekurve'!$D49:D50))*$H453*0.1)</f>
        <v>0</v>
      </c>
      <c r="E585" s="274">
        <f>IF(E388&gt;0,IF(-$H453&gt;E388,-E182*($C585-0.5)/(1+AVERAGE('Vedlegg 1 - Rentekurve'!$D49:D50))*(E388+$H453)*0.5,0),-E182*($C585-0.5)/(1+AVERAGE('Vedlegg 1 - Rentekurve'!$D49:D50))*$H453*0.5)</f>
        <v>0</v>
      </c>
      <c r="F585" s="274">
        <f>IF(F388&gt;0,IF(-$H453&gt;F388,-F182*($C585-0.5)/(1+AVERAGE('Vedlegg 1 - Rentekurve'!$D49:D50))*(-F388)*0.2-F182*($C585-0.5)/(1+AVERAGE('Vedlegg 1 - Rentekurve'!$D49:D50))*(F388+$H453),-F182*($C585-0.5)/(1+AVERAGE('Vedlegg 1 - Rentekurve'!$D49:D50))*$H453*0.2),-F182*($C585-0.5)/(1+AVERAGE('Vedlegg 1 - Rentekurve'!$D49:D50))*$H453)</f>
        <v>0</v>
      </c>
      <c r="G585" s="33"/>
      <c r="H585" s="33"/>
      <c r="I585" s="37"/>
    </row>
    <row r="586" spans="1:9" ht="12.75" customHeight="1">
      <c r="A586" s="32"/>
      <c r="B586" s="33"/>
      <c r="C586" s="35">
        <v>42</v>
      </c>
      <c r="D586" s="274">
        <f>IF(D389&gt;0,IF(-$H454&gt;D389,-D183*($C586-0.5)/(1+AVERAGE('Vedlegg 1 - Rentekurve'!$D50:D51))*(D389+$H454)*0.1,0),-D183*($C586-0.5)/(1+AVERAGE('Vedlegg 1 - Rentekurve'!$D50:D51))*$H454*0.1)</f>
        <v>0</v>
      </c>
      <c r="E586" s="274">
        <f>IF(E389&gt;0,IF(-$H454&gt;E389,-E183*($C586-0.5)/(1+AVERAGE('Vedlegg 1 - Rentekurve'!$D50:D51))*(E389+$H454)*0.5,0),-E183*($C586-0.5)/(1+AVERAGE('Vedlegg 1 - Rentekurve'!$D50:D51))*$H454*0.5)</f>
        <v>0</v>
      </c>
      <c r="F586" s="274">
        <f>IF(F389&gt;0,IF(-$H454&gt;F389,-F183*($C586-0.5)/(1+AVERAGE('Vedlegg 1 - Rentekurve'!$D50:D51))*(-F389)*0.2-F183*($C586-0.5)/(1+AVERAGE('Vedlegg 1 - Rentekurve'!$D50:D51))*(F389+$H454),-F183*($C586-0.5)/(1+AVERAGE('Vedlegg 1 - Rentekurve'!$D50:D51))*$H454*0.2),-F183*($C586-0.5)/(1+AVERAGE('Vedlegg 1 - Rentekurve'!$D50:D51))*$H454)</f>
        <v>0</v>
      </c>
      <c r="G586" s="33"/>
      <c r="H586" s="33"/>
      <c r="I586" s="37"/>
    </row>
    <row r="587" spans="1:9" ht="12.75" customHeight="1">
      <c r="A587" s="32"/>
      <c r="B587" s="33"/>
      <c r="C587" s="35">
        <v>43</v>
      </c>
      <c r="D587" s="274">
        <f>IF(D390&gt;0,IF(-$H455&gt;D390,-D184*($C587-0.5)/(1+AVERAGE('Vedlegg 1 - Rentekurve'!$D51:D52))*(D390+$H455)*0.1,0),-D184*($C587-0.5)/(1+AVERAGE('Vedlegg 1 - Rentekurve'!$D51:D52))*$H455*0.1)</f>
        <v>0</v>
      </c>
      <c r="E587" s="274">
        <f>IF(E390&gt;0,IF(-$H455&gt;E390,-E184*($C587-0.5)/(1+AVERAGE('Vedlegg 1 - Rentekurve'!$D51:D52))*(E390+$H455)*0.5,0),-E184*($C587-0.5)/(1+AVERAGE('Vedlegg 1 - Rentekurve'!$D51:D52))*$H455*0.5)</f>
        <v>0</v>
      </c>
      <c r="F587" s="274">
        <f>IF(F390&gt;0,IF(-$H455&gt;F390,-F184*($C587-0.5)/(1+AVERAGE('Vedlegg 1 - Rentekurve'!$D51:D52))*(-F390)*0.2-F184*($C587-0.5)/(1+AVERAGE('Vedlegg 1 - Rentekurve'!$D51:D52))*(F390+$H455),-F184*($C587-0.5)/(1+AVERAGE('Vedlegg 1 - Rentekurve'!$D51:D52))*$H455*0.2),-F184*($C587-0.5)/(1+AVERAGE('Vedlegg 1 - Rentekurve'!$D51:D52))*$H455)</f>
        <v>0</v>
      </c>
      <c r="G587" s="33"/>
      <c r="H587" s="33"/>
      <c r="I587" s="37"/>
    </row>
    <row r="588" spans="1:9" ht="12.75" customHeight="1">
      <c r="A588" s="32"/>
      <c r="B588" s="33"/>
      <c r="C588" s="35">
        <v>44</v>
      </c>
      <c r="D588" s="274">
        <f>IF(D391&gt;0,IF(-$H456&gt;D391,-D185*($C588-0.5)/(1+AVERAGE('Vedlegg 1 - Rentekurve'!$D52:D53))*(D391+$H456)*0.1,0),-D185*($C588-0.5)/(1+AVERAGE('Vedlegg 1 - Rentekurve'!$D52:D53))*$H456*0.1)</f>
        <v>0</v>
      </c>
      <c r="E588" s="274">
        <f>IF(E391&gt;0,IF(-$H456&gt;E391,-E185*($C588-0.5)/(1+AVERAGE('Vedlegg 1 - Rentekurve'!$D52:D53))*(E391+$H456)*0.5,0),-E185*($C588-0.5)/(1+AVERAGE('Vedlegg 1 - Rentekurve'!$D52:D53))*$H456*0.5)</f>
        <v>0</v>
      </c>
      <c r="F588" s="274">
        <f>IF(F391&gt;0,IF(-$H456&gt;F391,-F185*($C588-0.5)/(1+AVERAGE('Vedlegg 1 - Rentekurve'!$D52:D53))*(-F391)*0.2-F185*($C588-0.5)/(1+AVERAGE('Vedlegg 1 - Rentekurve'!$D52:D53))*(F391+$H456),-F185*($C588-0.5)/(1+AVERAGE('Vedlegg 1 - Rentekurve'!$D52:D53))*$H456*0.2),-F185*($C588-0.5)/(1+AVERAGE('Vedlegg 1 - Rentekurve'!$D52:D53))*$H456)</f>
        <v>0</v>
      </c>
      <c r="G588" s="33"/>
      <c r="H588" s="33"/>
      <c r="I588" s="37"/>
    </row>
    <row r="589" spans="1:9" ht="12.75" customHeight="1">
      <c r="A589" s="32"/>
      <c r="B589" s="33"/>
      <c r="C589" s="35">
        <v>45</v>
      </c>
      <c r="D589" s="274">
        <f>IF(D392&gt;0,IF(-$H457&gt;D392,-D186*($C589-0.5)/(1+AVERAGE('Vedlegg 1 - Rentekurve'!$D53:D54))*(D392+$H457)*0.1,0),-D186*($C589-0.5)/(1+AVERAGE('Vedlegg 1 - Rentekurve'!$D53:D54))*$H457*0.1)</f>
        <v>0</v>
      </c>
      <c r="E589" s="274">
        <f>IF(E392&gt;0,IF(-$H457&gt;E392,-E186*($C589-0.5)/(1+AVERAGE('Vedlegg 1 - Rentekurve'!$D53:D54))*(E392+$H457)*0.5,0),-E186*($C589-0.5)/(1+AVERAGE('Vedlegg 1 - Rentekurve'!$D53:D54))*$H457*0.5)</f>
        <v>0</v>
      </c>
      <c r="F589" s="274">
        <f>IF(F392&gt;0,IF(-$H457&gt;F392,-F186*($C589-0.5)/(1+AVERAGE('Vedlegg 1 - Rentekurve'!$D53:D54))*(-F392)*0.2-F186*($C589-0.5)/(1+AVERAGE('Vedlegg 1 - Rentekurve'!$D53:D54))*(F392+$H457),-F186*($C589-0.5)/(1+AVERAGE('Vedlegg 1 - Rentekurve'!$D53:D54))*$H457*0.2),-F186*($C589-0.5)/(1+AVERAGE('Vedlegg 1 - Rentekurve'!$D53:D54))*$H457)</f>
        <v>0</v>
      </c>
      <c r="G589" s="33"/>
      <c r="H589" s="33"/>
      <c r="I589" s="37"/>
    </row>
    <row r="590" spans="1:9" ht="12.75" customHeight="1">
      <c r="A590" s="32"/>
      <c r="B590" s="33"/>
      <c r="C590" s="35">
        <v>46</v>
      </c>
      <c r="D590" s="274">
        <f>IF(D393&gt;0,IF(-$H458&gt;D393,-D187*($C590-0.5)/(1+AVERAGE('Vedlegg 1 - Rentekurve'!$D54:D55))*(D393+$H458)*0.1,0),-D187*($C590-0.5)/(1+AVERAGE('Vedlegg 1 - Rentekurve'!$D54:D55))*$H458*0.1)</f>
        <v>0</v>
      </c>
      <c r="E590" s="274">
        <f>IF(E393&gt;0,IF(-$H458&gt;E393,-E187*($C590-0.5)/(1+AVERAGE('Vedlegg 1 - Rentekurve'!$D54:D55))*(E393+$H458)*0.5,0),-E187*($C590-0.5)/(1+AVERAGE('Vedlegg 1 - Rentekurve'!$D54:D55))*$H458*0.5)</f>
        <v>0</v>
      </c>
      <c r="F590" s="274">
        <f>IF(F393&gt;0,IF(-$H458&gt;F393,-F187*($C590-0.5)/(1+AVERAGE('Vedlegg 1 - Rentekurve'!$D54:D55))*(-F393)*0.2-F187*($C590-0.5)/(1+AVERAGE('Vedlegg 1 - Rentekurve'!$D54:D55))*(F393+$H458),-F187*($C590-0.5)/(1+AVERAGE('Vedlegg 1 - Rentekurve'!$D54:D55))*$H458*0.2),-F187*($C590-0.5)/(1+AVERAGE('Vedlegg 1 - Rentekurve'!$D54:D55))*$H458)</f>
        <v>0</v>
      </c>
      <c r="G590" s="33"/>
      <c r="H590" s="33"/>
      <c r="I590" s="37"/>
    </row>
    <row r="591" spans="1:9" ht="12.75" customHeight="1">
      <c r="A591" s="32"/>
      <c r="B591" s="33"/>
      <c r="C591" s="35">
        <v>47</v>
      </c>
      <c r="D591" s="274">
        <f>IF(D394&gt;0,IF(-$H459&gt;D394,-D188*($C591-0.5)/(1+AVERAGE('Vedlegg 1 - Rentekurve'!$D55:D56))*(D394+$H459)*0.1,0),-D188*($C591-0.5)/(1+AVERAGE('Vedlegg 1 - Rentekurve'!$D55:D56))*$H459*0.1)</f>
        <v>0</v>
      </c>
      <c r="E591" s="274">
        <f>IF(E394&gt;0,IF(-$H459&gt;E394,-E188*($C591-0.5)/(1+AVERAGE('Vedlegg 1 - Rentekurve'!$D55:D56))*(E394+$H459)*0.5,0),-E188*($C591-0.5)/(1+AVERAGE('Vedlegg 1 - Rentekurve'!$D55:D56))*$H459*0.5)</f>
        <v>0</v>
      </c>
      <c r="F591" s="274">
        <f>IF(F394&gt;0,IF(-$H459&gt;F394,-F188*($C591-0.5)/(1+AVERAGE('Vedlegg 1 - Rentekurve'!$D55:D56))*(-F394)*0.2-F188*($C591-0.5)/(1+AVERAGE('Vedlegg 1 - Rentekurve'!$D55:D56))*(F394+$H459),-F188*($C591-0.5)/(1+AVERAGE('Vedlegg 1 - Rentekurve'!$D55:D56))*$H459*0.2),-F188*($C591-0.5)/(1+AVERAGE('Vedlegg 1 - Rentekurve'!$D55:D56))*$H459)</f>
        <v>0</v>
      </c>
      <c r="G591" s="33"/>
      <c r="H591" s="33"/>
      <c r="I591" s="37"/>
    </row>
    <row r="592" spans="1:9" ht="12.75" customHeight="1">
      <c r="A592" s="32"/>
      <c r="B592" s="33"/>
      <c r="C592" s="35">
        <v>48</v>
      </c>
      <c r="D592" s="274">
        <f>IF(D395&gt;0,IF(-$H460&gt;D395,-D189*($C592-0.5)/(1+AVERAGE('Vedlegg 1 - Rentekurve'!$D56:D57))*(D395+$H460)*0.1,0),-D189*($C592-0.5)/(1+AVERAGE('Vedlegg 1 - Rentekurve'!$D56:D57))*$H460*0.1)</f>
        <v>0</v>
      </c>
      <c r="E592" s="274">
        <f>IF(E395&gt;0,IF(-$H460&gt;E395,-E189*($C592-0.5)/(1+AVERAGE('Vedlegg 1 - Rentekurve'!$D56:D57))*(E395+$H460)*0.5,0),-E189*($C592-0.5)/(1+AVERAGE('Vedlegg 1 - Rentekurve'!$D56:D57))*$H460*0.5)</f>
        <v>0</v>
      </c>
      <c r="F592" s="274">
        <f>IF(F395&gt;0,IF(-$H460&gt;F395,-F189*($C592-0.5)/(1+AVERAGE('Vedlegg 1 - Rentekurve'!$D56:D57))*(-F395)*0.2-F189*($C592-0.5)/(1+AVERAGE('Vedlegg 1 - Rentekurve'!$D56:D57))*(F395+$H460),-F189*($C592-0.5)/(1+AVERAGE('Vedlegg 1 - Rentekurve'!$D56:D57))*$H460*0.2),-F189*($C592-0.5)/(1+AVERAGE('Vedlegg 1 - Rentekurve'!$D56:D57))*$H460)</f>
        <v>0</v>
      </c>
      <c r="G592" s="33"/>
      <c r="H592" s="33"/>
      <c r="I592" s="37"/>
    </row>
    <row r="593" spans="1:9" ht="12.75" customHeight="1">
      <c r="A593" s="32"/>
      <c r="B593" s="33"/>
      <c r="C593" s="35">
        <v>49</v>
      </c>
      <c r="D593" s="274">
        <f>IF(D396&gt;0,IF(-$H461&gt;D396,-D190*($C593-0.5)/(1+AVERAGE('Vedlegg 1 - Rentekurve'!$D57:D58))*(D396+$H461)*0.1,0),-D190*($C593-0.5)/(1+AVERAGE('Vedlegg 1 - Rentekurve'!$D57:D58))*$H461*0.1)</f>
        <v>0</v>
      </c>
      <c r="E593" s="274">
        <f>IF(E396&gt;0,IF(-$H461&gt;E396,-E190*($C593-0.5)/(1+AVERAGE('Vedlegg 1 - Rentekurve'!$D57:D58))*(E396+$H461)*0.5,0),-E190*($C593-0.5)/(1+AVERAGE('Vedlegg 1 - Rentekurve'!$D57:D58))*$H461*0.5)</f>
        <v>0</v>
      </c>
      <c r="F593" s="274">
        <f>IF(F396&gt;0,IF(-$H461&gt;F396,-F190*($C593-0.5)/(1+AVERAGE('Vedlegg 1 - Rentekurve'!$D57:D58))*(-F396)*0.2-F190*($C593-0.5)/(1+AVERAGE('Vedlegg 1 - Rentekurve'!$D57:D58))*(F396+$H461),-F190*($C593-0.5)/(1+AVERAGE('Vedlegg 1 - Rentekurve'!$D57:D58))*$H461*0.2),-F190*($C593-0.5)/(1+AVERAGE('Vedlegg 1 - Rentekurve'!$D57:D58))*$H461)</f>
        <v>0</v>
      </c>
      <c r="G593" s="33"/>
      <c r="H593" s="33"/>
      <c r="I593" s="37"/>
    </row>
    <row r="594" spans="1:9" ht="12.75" customHeight="1">
      <c r="A594" s="32"/>
      <c r="B594" s="33"/>
      <c r="C594" s="35">
        <v>50</v>
      </c>
      <c r="D594" s="274">
        <f>IF(D397&gt;0,IF(-$H462&gt;D397,-D191*($C594-0.5)/(1+AVERAGE('Vedlegg 1 - Rentekurve'!$D58:D59))*(D397+$H462)*0.1,0),-D191*($C594-0.5)/(1+AVERAGE('Vedlegg 1 - Rentekurve'!$D58:D59))*$H462*0.1)</f>
        <v>0</v>
      </c>
      <c r="E594" s="274">
        <f>IF(E397&gt;0,IF(-$H462&gt;E397,-E191*($C594-0.5)/(1+AVERAGE('Vedlegg 1 - Rentekurve'!$D58:D59))*(E397+$H462)*0.5,0),-E191*($C594-0.5)/(1+AVERAGE('Vedlegg 1 - Rentekurve'!$D58:D59))*$H462*0.5)</f>
        <v>0</v>
      </c>
      <c r="F594" s="274">
        <f>IF(F397&gt;0,IF(-$H462&gt;F397,-F191*($C594-0.5)/(1+AVERAGE('Vedlegg 1 - Rentekurve'!$D58:D59))*(-F397)*0.2-F191*($C594-0.5)/(1+AVERAGE('Vedlegg 1 - Rentekurve'!$D58:D59))*(F397+$H462),-F191*($C594-0.5)/(1+AVERAGE('Vedlegg 1 - Rentekurve'!$D58:D59))*$H462*0.2),-F191*($C594-0.5)/(1+AVERAGE('Vedlegg 1 - Rentekurve'!$D58:D59))*$H462)</f>
        <v>0</v>
      </c>
      <c r="G594" s="33"/>
      <c r="H594" s="33"/>
      <c r="I594" s="37"/>
    </row>
    <row r="595" spans="1:9" ht="12.75" customHeight="1">
      <c r="A595" s="32"/>
      <c r="B595" s="33"/>
      <c r="C595" s="35">
        <v>51</v>
      </c>
      <c r="D595" s="274">
        <f>IF(D398&gt;0,IF(-$H463&gt;D398,-D192*($C595-0.5)/(1+AVERAGE('Vedlegg 1 - Rentekurve'!$D59:D60))*(D398+$H463)*0.1,0),-D192*($C595-0.5)/(1+AVERAGE('Vedlegg 1 - Rentekurve'!$D59:D60))*$H463*0.1)</f>
        <v>0</v>
      </c>
      <c r="E595" s="274">
        <f>IF(E398&gt;0,IF(-$H463&gt;E398,-E192*($C595-0.5)/(1+AVERAGE('Vedlegg 1 - Rentekurve'!$D59:D60))*(E398+$H463)*0.5,0),-E192*($C595-0.5)/(1+AVERAGE('Vedlegg 1 - Rentekurve'!$D59:D60))*$H463*0.5)</f>
        <v>0</v>
      </c>
      <c r="F595" s="274">
        <f>IF(F398&gt;0,IF(-$H463&gt;F398,-F192*($C595-0.5)/(1+AVERAGE('Vedlegg 1 - Rentekurve'!$D59:D60))*(-F398)*0.2-F192*($C595-0.5)/(1+AVERAGE('Vedlegg 1 - Rentekurve'!$D59:D60))*(F398+$H463),-F192*($C595-0.5)/(1+AVERAGE('Vedlegg 1 - Rentekurve'!$D59:D60))*$H463*0.2),-F192*($C595-0.5)/(1+AVERAGE('Vedlegg 1 - Rentekurve'!$D59:D60))*$H463)</f>
        <v>0</v>
      </c>
      <c r="G595" s="33"/>
      <c r="H595" s="33"/>
      <c r="I595" s="37"/>
    </row>
    <row r="596" spans="1:9" ht="12.75" customHeight="1">
      <c r="A596" s="32"/>
      <c r="B596" s="33"/>
      <c r="C596" s="35">
        <v>52</v>
      </c>
      <c r="D596" s="274">
        <f>IF(D399&gt;0,IF(-$H464&gt;D399,-D193*($C596-0.5)/(1+AVERAGE('Vedlegg 1 - Rentekurve'!$D60:D61))*(D399+$H464)*0.1,0),-D193*($C596-0.5)/(1+AVERAGE('Vedlegg 1 - Rentekurve'!$D60:D61))*$H464*0.1)</f>
        <v>0</v>
      </c>
      <c r="E596" s="274">
        <f>IF(E399&gt;0,IF(-$H464&gt;E399,-E193*($C596-0.5)/(1+AVERAGE('Vedlegg 1 - Rentekurve'!$D60:D61))*(E399+$H464)*0.5,0),-E193*($C596-0.5)/(1+AVERAGE('Vedlegg 1 - Rentekurve'!$D60:D61))*$H464*0.5)</f>
        <v>0</v>
      </c>
      <c r="F596" s="274">
        <f>IF(F399&gt;0,IF(-$H464&gt;F399,-F193*($C596-0.5)/(1+AVERAGE('Vedlegg 1 - Rentekurve'!$D60:D61))*(-F399)*0.2-F193*($C596-0.5)/(1+AVERAGE('Vedlegg 1 - Rentekurve'!$D60:D61))*(F399+$H464),-F193*($C596-0.5)/(1+AVERAGE('Vedlegg 1 - Rentekurve'!$D60:D61))*$H464*0.2),-F193*($C596-0.5)/(1+AVERAGE('Vedlegg 1 - Rentekurve'!$D60:D61))*$H464)</f>
        <v>0</v>
      </c>
      <c r="G596" s="33"/>
      <c r="H596" s="33"/>
      <c r="I596" s="37"/>
    </row>
    <row r="597" spans="1:9" ht="12.75" customHeight="1">
      <c r="A597" s="32"/>
      <c r="B597" s="33"/>
      <c r="C597" s="35">
        <v>53</v>
      </c>
      <c r="D597" s="274">
        <f>IF(D400&gt;0,IF(-$H465&gt;D400,-D194*($C597-0.5)/(1+AVERAGE('Vedlegg 1 - Rentekurve'!$D61:D62))*(D400+$H465)*0.1,0),-D194*($C597-0.5)/(1+AVERAGE('Vedlegg 1 - Rentekurve'!$D61:D62))*$H465*0.1)</f>
        <v>0</v>
      </c>
      <c r="E597" s="274">
        <f>IF(E400&gt;0,IF(-$H465&gt;E400,-E194*($C597-0.5)/(1+AVERAGE('Vedlegg 1 - Rentekurve'!$D61:D62))*(E400+$H465)*0.5,0),-E194*($C597-0.5)/(1+AVERAGE('Vedlegg 1 - Rentekurve'!$D61:D62))*$H465*0.5)</f>
        <v>0</v>
      </c>
      <c r="F597" s="274">
        <f>IF(F400&gt;0,IF(-$H465&gt;F400,-F194*($C597-0.5)/(1+AVERAGE('Vedlegg 1 - Rentekurve'!$D61:D62))*(-F400)*0.2-F194*($C597-0.5)/(1+AVERAGE('Vedlegg 1 - Rentekurve'!$D61:D62))*(F400+$H465),-F194*($C597-0.5)/(1+AVERAGE('Vedlegg 1 - Rentekurve'!$D61:D62))*$H465*0.2),-F194*($C597-0.5)/(1+AVERAGE('Vedlegg 1 - Rentekurve'!$D61:D62))*$H465)</f>
        <v>0</v>
      </c>
      <c r="G597" s="33"/>
      <c r="H597" s="33"/>
      <c r="I597" s="37"/>
    </row>
    <row r="598" spans="1:9" ht="12.75" customHeight="1">
      <c r="A598" s="32"/>
      <c r="B598" s="33"/>
      <c r="C598" s="35">
        <v>54</v>
      </c>
      <c r="D598" s="274">
        <f>IF(D401&gt;0,IF(-$H466&gt;D401,-D195*($C598-0.5)/(1+AVERAGE('Vedlegg 1 - Rentekurve'!$D62:D63))*(D401+$H466)*0.1,0),-D195*($C598-0.5)/(1+AVERAGE('Vedlegg 1 - Rentekurve'!$D62:D63))*$H466*0.1)</f>
        <v>0</v>
      </c>
      <c r="E598" s="274">
        <f>IF(E401&gt;0,IF(-$H466&gt;E401,-E195*($C598-0.5)/(1+AVERAGE('Vedlegg 1 - Rentekurve'!$D62:D63))*(E401+$H466)*0.5,0),-E195*($C598-0.5)/(1+AVERAGE('Vedlegg 1 - Rentekurve'!$D62:D63))*$H466*0.5)</f>
        <v>0</v>
      </c>
      <c r="F598" s="274">
        <f>IF(F401&gt;0,IF(-$H466&gt;F401,-F195*($C598-0.5)/(1+AVERAGE('Vedlegg 1 - Rentekurve'!$D62:D63))*(-F401)*0.2-F195*($C598-0.5)/(1+AVERAGE('Vedlegg 1 - Rentekurve'!$D62:D63))*(F401+$H466),-F195*($C598-0.5)/(1+AVERAGE('Vedlegg 1 - Rentekurve'!$D62:D63))*$H466*0.2),-F195*($C598-0.5)/(1+AVERAGE('Vedlegg 1 - Rentekurve'!$D62:D63))*$H466)</f>
        <v>0</v>
      </c>
      <c r="G598" s="33"/>
      <c r="H598" s="33"/>
      <c r="I598" s="37"/>
    </row>
    <row r="599" spans="1:9" ht="12.75" customHeight="1">
      <c r="A599" s="32"/>
      <c r="B599" s="33"/>
      <c r="C599" s="35">
        <v>55</v>
      </c>
      <c r="D599" s="274">
        <f>IF(D402&gt;0,IF(-$H467&gt;D402,-D196*($C599-0.5)/(1+AVERAGE('Vedlegg 1 - Rentekurve'!$D63:D64))*(D402+$H467)*0.1,0),-D196*($C599-0.5)/(1+AVERAGE('Vedlegg 1 - Rentekurve'!$D63:D64))*$H467*0.1)</f>
        <v>0</v>
      </c>
      <c r="E599" s="274">
        <f>IF(E402&gt;0,IF(-$H467&gt;E402,-E196*($C599-0.5)/(1+AVERAGE('Vedlegg 1 - Rentekurve'!$D63:D64))*(E402+$H467)*0.5,0),-E196*($C599-0.5)/(1+AVERAGE('Vedlegg 1 - Rentekurve'!$D63:D64))*$H467*0.5)</f>
        <v>0</v>
      </c>
      <c r="F599" s="274">
        <f>IF(F402&gt;0,IF(-$H467&gt;F402,-F196*($C599-0.5)/(1+AVERAGE('Vedlegg 1 - Rentekurve'!$D63:D64))*(-F402)*0.2-F196*($C599-0.5)/(1+AVERAGE('Vedlegg 1 - Rentekurve'!$D63:D64))*(F402+$H467),-F196*($C599-0.5)/(1+AVERAGE('Vedlegg 1 - Rentekurve'!$D63:D64))*$H467*0.2),-F196*($C599-0.5)/(1+AVERAGE('Vedlegg 1 - Rentekurve'!$D63:D64))*$H467)</f>
        <v>0</v>
      </c>
      <c r="G599" s="33"/>
      <c r="H599" s="33"/>
      <c r="I599" s="37"/>
    </row>
    <row r="600" spans="1:9" ht="12.75" customHeight="1">
      <c r="A600" s="32"/>
      <c r="B600" s="33"/>
      <c r="C600" s="35">
        <v>56</v>
      </c>
      <c r="D600" s="274">
        <f>IF(D403&gt;0,IF(-$H468&gt;D403,-D197*($C600-0.5)/(1+AVERAGE('Vedlegg 1 - Rentekurve'!$D64:D65))*(D403+$H468)*0.1,0),-D197*($C600-0.5)/(1+AVERAGE('Vedlegg 1 - Rentekurve'!$D64:D65))*$H468*0.1)</f>
        <v>0</v>
      </c>
      <c r="E600" s="274">
        <f>IF(E403&gt;0,IF(-$H468&gt;E403,-E197*($C600-0.5)/(1+AVERAGE('Vedlegg 1 - Rentekurve'!$D64:D65))*(E403+$H468)*0.5,0),-E197*($C600-0.5)/(1+AVERAGE('Vedlegg 1 - Rentekurve'!$D64:D65))*$H468*0.5)</f>
        <v>0</v>
      </c>
      <c r="F600" s="274">
        <f>IF(F403&gt;0,IF(-$H468&gt;F403,-F197*($C600-0.5)/(1+AVERAGE('Vedlegg 1 - Rentekurve'!$D64:D65))*(-F403)*0.2-F197*($C600-0.5)/(1+AVERAGE('Vedlegg 1 - Rentekurve'!$D64:D65))*(F403+$H468),-F197*($C600-0.5)/(1+AVERAGE('Vedlegg 1 - Rentekurve'!$D64:D65))*$H468*0.2),-F197*($C600-0.5)/(1+AVERAGE('Vedlegg 1 - Rentekurve'!$D64:D65))*$H468)</f>
        <v>0</v>
      </c>
      <c r="G600" s="33"/>
      <c r="H600" s="33"/>
      <c r="I600" s="37"/>
    </row>
    <row r="601" spans="1:9" ht="12.75" customHeight="1">
      <c r="A601" s="32"/>
      <c r="B601" s="33"/>
      <c r="C601" s="35">
        <v>57</v>
      </c>
      <c r="D601" s="274">
        <f>IF(D404&gt;0,IF(-$H469&gt;D404,-D198*($C601-0.5)/(1+AVERAGE('Vedlegg 1 - Rentekurve'!$D65:D66))*(D404+$H469)*0.1,0),-D198*($C601-0.5)/(1+AVERAGE('Vedlegg 1 - Rentekurve'!$D65:D66))*$H469*0.1)</f>
        <v>0</v>
      </c>
      <c r="E601" s="274">
        <f>IF(E404&gt;0,IF(-$H469&gt;E404,-E198*($C601-0.5)/(1+AVERAGE('Vedlegg 1 - Rentekurve'!$D65:D66))*(E404+$H469)*0.5,0),-E198*($C601-0.5)/(1+AVERAGE('Vedlegg 1 - Rentekurve'!$D65:D66))*$H469*0.5)</f>
        <v>0</v>
      </c>
      <c r="F601" s="274">
        <f>IF(F404&gt;0,IF(-$H469&gt;F404,-F198*($C601-0.5)/(1+AVERAGE('Vedlegg 1 - Rentekurve'!$D65:D66))*(-F404)*0.2-F198*($C601-0.5)/(1+AVERAGE('Vedlegg 1 - Rentekurve'!$D65:D66))*(F404+$H469),-F198*($C601-0.5)/(1+AVERAGE('Vedlegg 1 - Rentekurve'!$D65:D66))*$H469*0.2),-F198*($C601-0.5)/(1+AVERAGE('Vedlegg 1 - Rentekurve'!$D65:D66))*$H469)</f>
        <v>0</v>
      </c>
      <c r="G601" s="33"/>
      <c r="H601" s="33"/>
      <c r="I601" s="37"/>
    </row>
    <row r="602" spans="1:9" ht="12.75" customHeight="1">
      <c r="A602" s="32"/>
      <c r="B602" s="33"/>
      <c r="C602" s="35">
        <v>58</v>
      </c>
      <c r="D602" s="274">
        <f>IF(D405&gt;0,IF(-$H470&gt;D405,-D199*($C602-0.5)/(1+AVERAGE('Vedlegg 1 - Rentekurve'!$D66:D67))*(D405+$H470)*0.1,0),-D199*($C602-0.5)/(1+AVERAGE('Vedlegg 1 - Rentekurve'!$D66:D67))*$H470*0.1)</f>
        <v>0</v>
      </c>
      <c r="E602" s="274">
        <f>IF(E405&gt;0,IF(-$H470&gt;E405,-E199*($C602-0.5)/(1+AVERAGE('Vedlegg 1 - Rentekurve'!$D66:D67))*(E405+$H470)*0.5,0),-E199*($C602-0.5)/(1+AVERAGE('Vedlegg 1 - Rentekurve'!$D66:D67))*$H470*0.5)</f>
        <v>0</v>
      </c>
      <c r="F602" s="274">
        <f>IF(F405&gt;0,IF(-$H470&gt;F405,-F199*($C602-0.5)/(1+AVERAGE('Vedlegg 1 - Rentekurve'!$D66:D67))*(-F405)*0.2-F199*($C602-0.5)/(1+AVERAGE('Vedlegg 1 - Rentekurve'!$D66:D67))*(F405+$H470),-F199*($C602-0.5)/(1+AVERAGE('Vedlegg 1 - Rentekurve'!$D66:D67))*$H470*0.2),-F199*($C602-0.5)/(1+AVERAGE('Vedlegg 1 - Rentekurve'!$D66:D67))*$H470)</f>
        <v>0</v>
      </c>
      <c r="G602" s="33"/>
      <c r="H602" s="33"/>
      <c r="I602" s="37"/>
    </row>
    <row r="603" spans="1:9" ht="12.75" customHeight="1">
      <c r="A603" s="32"/>
      <c r="B603" s="33"/>
      <c r="C603" s="35">
        <v>59</v>
      </c>
      <c r="D603" s="274">
        <f>IF(D406&gt;0,IF(-$H471&gt;D406,-D200*($C603-0.5)/(1+AVERAGE('Vedlegg 1 - Rentekurve'!$D67:D68))*(D406+$H471)*0.1,0),-D200*($C603-0.5)/(1+AVERAGE('Vedlegg 1 - Rentekurve'!$D67:D68))*$H471*0.1)</f>
        <v>0</v>
      </c>
      <c r="E603" s="274">
        <f>IF(E406&gt;0,IF(-$H471&gt;E406,-E200*($C603-0.5)/(1+AVERAGE('Vedlegg 1 - Rentekurve'!$D67:D68))*(E406+$H471)*0.5,0),-E200*($C603-0.5)/(1+AVERAGE('Vedlegg 1 - Rentekurve'!$D67:D68))*$H471*0.5)</f>
        <v>0</v>
      </c>
      <c r="F603" s="274">
        <f>IF(F406&gt;0,IF(-$H471&gt;F406,-F200*($C603-0.5)/(1+AVERAGE('Vedlegg 1 - Rentekurve'!$D67:D68))*(-F406)*0.2-F200*($C603-0.5)/(1+AVERAGE('Vedlegg 1 - Rentekurve'!$D67:D68))*(F406+$H471),-F200*($C603-0.5)/(1+AVERAGE('Vedlegg 1 - Rentekurve'!$D67:D68))*$H471*0.2),-F200*($C603-0.5)/(1+AVERAGE('Vedlegg 1 - Rentekurve'!$D67:D68))*$H471)</f>
        <v>0</v>
      </c>
      <c r="G603" s="33"/>
      <c r="H603" s="33"/>
      <c r="I603" s="37"/>
    </row>
    <row r="604" spans="1:9" ht="12.75" customHeight="1">
      <c r="A604" s="32"/>
      <c r="B604" s="33"/>
      <c r="C604" s="35">
        <v>60</v>
      </c>
      <c r="D604" s="274">
        <f>IF(D407&gt;0,IF(-$H472&gt;D407,-D201*($C604-0.5)/(1+AVERAGE('Vedlegg 1 - Rentekurve'!$D68:D69))*(D407+$H472)*0.1,0),-D201*($C604-0.5)/(1+AVERAGE('Vedlegg 1 - Rentekurve'!$D68:D69))*$H472*0.1)</f>
        <v>0</v>
      </c>
      <c r="E604" s="274">
        <f>IF(E407&gt;0,IF(-$H472&gt;E407,-E201*($C604-0.5)/(1+AVERAGE('Vedlegg 1 - Rentekurve'!$D68:D69))*(E407+$H472)*0.5,0),-E201*($C604-0.5)/(1+AVERAGE('Vedlegg 1 - Rentekurve'!$D68:D69))*$H472*0.5)</f>
        <v>0</v>
      </c>
      <c r="F604" s="274">
        <f>IF(F407&gt;0,IF(-$H472&gt;F407,-F201*($C604-0.5)/(1+AVERAGE('Vedlegg 1 - Rentekurve'!$D68:D69))*(-F407)*0.2-F201*($C604-0.5)/(1+AVERAGE('Vedlegg 1 - Rentekurve'!$D68:D69))*(F407+$H472),-F201*($C604-0.5)/(1+AVERAGE('Vedlegg 1 - Rentekurve'!$D68:D69))*$H472*0.2),-F201*($C604-0.5)/(1+AVERAGE('Vedlegg 1 - Rentekurve'!$D68:D69))*$H472)</f>
        <v>0</v>
      </c>
      <c r="G604" s="33"/>
      <c r="H604" s="33"/>
      <c r="I604" s="37"/>
    </row>
    <row r="605" spans="1:9" ht="15.9" customHeight="1">
      <c r="A605" s="32"/>
      <c r="B605" s="259" t="s">
        <v>623</v>
      </c>
      <c r="C605" s="259"/>
      <c r="D605" s="396">
        <f>SUM(D545:D604)</f>
        <v>0</v>
      </c>
      <c r="E605" s="396">
        <f>SUM(E545:E604)</f>
        <v>0</v>
      </c>
      <c r="F605" s="396">
        <f>SUM(F545:F604)</f>
        <v>0</v>
      </c>
      <c r="G605" s="246" t="s">
        <v>117</v>
      </c>
      <c r="H605" s="33"/>
      <c r="I605" s="37"/>
    </row>
    <row r="606" spans="1:9" ht="15.9" customHeight="1">
      <c r="A606" s="32"/>
      <c r="B606" s="33"/>
      <c r="C606" s="259"/>
      <c r="D606" s="263"/>
      <c r="E606" s="263"/>
      <c r="F606" s="263"/>
      <c r="G606" s="396">
        <f>SUM(D605:F605)</f>
        <v>0</v>
      </c>
      <c r="H606" s="33"/>
      <c r="I606" s="37"/>
    </row>
    <row r="607" spans="1:9" ht="15.9" customHeight="1">
      <c r="A607" s="32"/>
      <c r="B607" s="33"/>
      <c r="C607" s="259"/>
      <c r="D607" s="263"/>
      <c r="E607" s="263"/>
      <c r="F607" s="263"/>
      <c r="G607" s="263"/>
      <c r="H607" s="33"/>
      <c r="I607" s="37"/>
    </row>
    <row r="608" spans="1:9" ht="15.9" customHeight="1">
      <c r="A608" s="32"/>
      <c r="B608" s="33"/>
      <c r="C608" s="259"/>
      <c r="D608" s="263"/>
      <c r="E608" s="263"/>
      <c r="F608" s="263"/>
      <c r="G608" s="263"/>
      <c r="H608" s="33"/>
      <c r="I608" s="37"/>
    </row>
    <row r="609" spans="1:9" ht="15" customHeight="1">
      <c r="A609" s="32"/>
      <c r="B609" s="113" t="s">
        <v>121</v>
      </c>
      <c r="C609" s="263"/>
      <c r="D609" s="263"/>
      <c r="E609" s="263"/>
      <c r="F609" s="263"/>
      <c r="G609" s="33"/>
      <c r="H609" s="33"/>
      <c r="I609" s="37"/>
    </row>
    <row r="610" spans="1:9" ht="15.9" customHeight="1">
      <c r="A610" s="32"/>
      <c r="B610" s="33"/>
      <c r="C610" s="59"/>
      <c r="D610" s="263"/>
      <c r="E610" s="263"/>
      <c r="F610" s="263"/>
      <c r="G610" s="263"/>
      <c r="H610" s="33"/>
      <c r="I610" s="37"/>
    </row>
    <row r="611" spans="1:9" ht="15.9" customHeight="1">
      <c r="A611" s="32"/>
      <c r="B611" s="30" t="s">
        <v>624</v>
      </c>
      <c r="C611" s="30" t="s">
        <v>625</v>
      </c>
      <c r="D611" s="33"/>
      <c r="E611" s="263"/>
      <c r="F611" s="263"/>
      <c r="G611" s="263"/>
      <c r="H611" s="33"/>
      <c r="I611" s="37"/>
    </row>
    <row r="612" spans="1:9" ht="15.9" customHeight="1">
      <c r="A612" s="32"/>
      <c r="B612" s="33"/>
      <c r="C612" s="33"/>
      <c r="D612" s="259"/>
      <c r="E612" s="263"/>
      <c r="F612" s="263"/>
      <c r="G612" s="263"/>
      <c r="H612" s="33"/>
      <c r="I612" s="37"/>
    </row>
    <row r="613" spans="1:9" ht="20.149999999999999" customHeight="1">
      <c r="A613" s="32"/>
      <c r="B613" s="65" t="s">
        <v>591</v>
      </c>
      <c r="C613" s="198" t="s">
        <v>626</v>
      </c>
      <c r="D613" s="198" t="s">
        <v>627</v>
      </c>
      <c r="E613" s="198" t="s">
        <v>628</v>
      </c>
      <c r="F613" s="198" t="s">
        <v>629</v>
      </c>
      <c r="G613" s="198" t="s">
        <v>630</v>
      </c>
      <c r="H613" s="198" t="s">
        <v>631</v>
      </c>
      <c r="I613" s="37"/>
    </row>
    <row r="614" spans="1:9" ht="12.75" customHeight="1">
      <c r="A614" s="32"/>
      <c r="B614" s="299">
        <v>1</v>
      </c>
      <c r="C614" s="282">
        <v>0</v>
      </c>
      <c r="D614" s="274">
        <f>'Vedlegg 1 - Rentekurve'!D10*(1+C413)</f>
        <v>8.0903000000000003E-2</v>
      </c>
      <c r="E614" s="274">
        <f>$C614/POWER(1+D614,$B614-0.5)</f>
        <v>0</v>
      </c>
      <c r="F614" s="274">
        <f>$C614/POWER(1+(AVERAGE('Vedlegg 1 - Rentekurve'!$D9:D10)),$B614-0.5)</f>
        <v>0</v>
      </c>
      <c r="G614" s="274">
        <f>'Vedlegg 1 - Rentekurve'!D10*(1+D413)</f>
        <v>1.18975E-2</v>
      </c>
      <c r="H614" s="274">
        <f>$C614/POWER(1+G614,$B614-0.5)</f>
        <v>0</v>
      </c>
      <c r="I614" s="37"/>
    </row>
    <row r="615" spans="1:9" ht="12.75" customHeight="1">
      <c r="A615" s="32"/>
      <c r="B615" s="299">
        <v>2</v>
      </c>
      <c r="C615" s="282">
        <v>0</v>
      </c>
      <c r="D615" s="274">
        <f>'Vedlegg 1 - Rentekurve'!D11*(1+C414)</f>
        <v>7.9814999999999997E-2</v>
      </c>
      <c r="E615" s="274">
        <f t="shared" ref="E615:E643" si="46">$C615/POWER(1+D615,$B615-0.5)</f>
        <v>0</v>
      </c>
      <c r="F615" s="274">
        <f>$C615/POWER(1+(AVERAGE('Vedlegg 1 - Rentekurve'!$D10:D11)),$B615-0.5)</f>
        <v>0</v>
      </c>
      <c r="G615" s="274">
        <f>'Vedlegg 1 - Rentekurve'!D11*(1+D414)</f>
        <v>1.6432499999999999E-2</v>
      </c>
      <c r="H615" s="274">
        <f t="shared" ref="H615:H643" si="47">$C615/POWER(1+G615,$B615-0.5)</f>
        <v>0</v>
      </c>
      <c r="I615" s="37"/>
    </row>
    <row r="616" spans="1:9" ht="12.75" customHeight="1">
      <c r="A616" s="32"/>
      <c r="B616" s="299">
        <v>3</v>
      </c>
      <c r="C616" s="282">
        <v>0</v>
      </c>
      <c r="D616" s="274">
        <f>'Vedlegg 1 - Rentekurve'!D12*(1+C415)</f>
        <v>7.5423600000000007E-2</v>
      </c>
      <c r="E616" s="274">
        <f t="shared" si="46"/>
        <v>0</v>
      </c>
      <c r="F616" s="274">
        <f>$C616/POWER(1+(AVERAGE('Vedlegg 1 - Rentekurve'!$D11:D12)),$B616-0.5)</f>
        <v>0</v>
      </c>
      <c r="G616" s="274">
        <f>'Vedlegg 1 - Rentekurve'!D12*(1+D415)</f>
        <v>2.0235599999999999E-2</v>
      </c>
      <c r="H616" s="274">
        <f t="shared" si="47"/>
        <v>0</v>
      </c>
      <c r="I616" s="37"/>
    </row>
    <row r="617" spans="1:9" ht="12.75" customHeight="1">
      <c r="A617" s="32"/>
      <c r="B617" s="299">
        <v>4</v>
      </c>
      <c r="C617" s="282">
        <v>0</v>
      </c>
      <c r="D617" s="274">
        <f>'Vedlegg 1 - Rentekurve'!D13*(1+C416)</f>
        <v>7.1756699999999993E-2</v>
      </c>
      <c r="E617" s="274">
        <f t="shared" si="46"/>
        <v>0</v>
      </c>
      <c r="F617" s="274">
        <f>$C617/POWER(1+(AVERAGE('Vedlegg 1 - Rentekurve'!$D12:D13)),$B617-0.5)</f>
        <v>0</v>
      </c>
      <c r="G617" s="274">
        <f>'Vedlegg 1 - Rentekurve'!D13*(1+D416)</f>
        <v>2.2565000000000002E-2</v>
      </c>
      <c r="H617" s="274">
        <f t="shared" si="47"/>
        <v>0</v>
      </c>
      <c r="I617" s="37"/>
    </row>
    <row r="618" spans="1:9" ht="12.75" customHeight="1">
      <c r="A618" s="32"/>
      <c r="B618" s="299">
        <v>5</v>
      </c>
      <c r="C618" s="282">
        <v>0</v>
      </c>
      <c r="D618" s="274">
        <f>'Vedlegg 1 - Rentekurve'!D14*(1+C417)</f>
        <v>6.9052500000000003E-2</v>
      </c>
      <c r="E618" s="274">
        <f t="shared" si="46"/>
        <v>0</v>
      </c>
      <c r="F618" s="274">
        <f>$C618/POWER(1+(AVERAGE('Vedlegg 1 - Rentekurve'!$D13:D14)),$B618-0.5)</f>
        <v>0</v>
      </c>
      <c r="G618" s="274">
        <f>'Vedlegg 1 - Rentekurve'!D14*(1+D417)</f>
        <v>2.4057000000000002E-2</v>
      </c>
      <c r="H618" s="274">
        <f t="shared" si="47"/>
        <v>0</v>
      </c>
      <c r="I618" s="37"/>
    </row>
    <row r="619" spans="1:9" ht="12.75" customHeight="1">
      <c r="A619" s="32"/>
      <c r="B619" s="299">
        <v>6</v>
      </c>
      <c r="C619" s="282">
        <v>0</v>
      </c>
      <c r="D619" s="274">
        <f>'Vedlegg 1 - Rentekurve'!D15*(1+C418)</f>
        <v>6.7244800000000007E-2</v>
      </c>
      <c r="E619" s="274">
        <f t="shared" si="46"/>
        <v>0</v>
      </c>
      <c r="F619" s="274">
        <f>$C619/POWER(1+(AVERAGE('Vedlegg 1 - Rentekurve'!$D14:D15)),$B619-0.5)</f>
        <v>0</v>
      </c>
      <c r="G619" s="274">
        <f>'Vedlegg 1 - Rentekurve'!D15*(1+D418)</f>
        <v>2.5659200000000004E-2</v>
      </c>
      <c r="H619" s="274">
        <f t="shared" si="47"/>
        <v>0</v>
      </c>
      <c r="I619" s="37"/>
    </row>
    <row r="620" spans="1:9" ht="12.75" customHeight="1">
      <c r="A620" s="32"/>
      <c r="B620" s="299">
        <v>7</v>
      </c>
      <c r="C620" s="282">
        <v>0</v>
      </c>
      <c r="D620" s="274">
        <f>'Vedlegg 1 - Rentekurve'!D16*(1+C419)</f>
        <v>6.5694099999999991E-2</v>
      </c>
      <c r="E620" s="274">
        <f t="shared" si="46"/>
        <v>0</v>
      </c>
      <c r="F620" s="274">
        <f>$C620/POWER(1+(AVERAGE('Vedlegg 1 - Rentekurve'!$D15:D16)),$B620-0.5)</f>
        <v>0</v>
      </c>
      <c r="G620" s="274">
        <f>'Vedlegg 1 - Rentekurve'!D16*(1+D419)</f>
        <v>2.6894899999999999E-2</v>
      </c>
      <c r="H620" s="274">
        <f t="shared" si="47"/>
        <v>0</v>
      </c>
      <c r="I620" s="37"/>
    </row>
    <row r="621" spans="1:9" ht="12.75" customHeight="1">
      <c r="A621" s="32"/>
      <c r="B621" s="299">
        <v>8</v>
      </c>
      <c r="C621" s="282">
        <v>0</v>
      </c>
      <c r="D621" s="274">
        <f>'Vedlegg 1 - Rentekurve'!D17*(1+C420)</f>
        <v>6.4694699999999994E-2</v>
      </c>
      <c r="E621" s="274">
        <f t="shared" si="46"/>
        <v>0</v>
      </c>
      <c r="F621" s="274">
        <f>$C621/POWER(1+(AVERAGE('Vedlegg 1 - Rentekurve'!$D16:D17)),$B621-0.5)</f>
        <v>0</v>
      </c>
      <c r="G621" s="274">
        <f>'Vedlegg 1 - Rentekurve'!D17*(1+D420)</f>
        <v>2.8166400000000001E-2</v>
      </c>
      <c r="H621" s="274">
        <f t="shared" si="47"/>
        <v>0</v>
      </c>
      <c r="I621" s="37"/>
    </row>
    <row r="622" spans="1:9" ht="12.75" customHeight="1">
      <c r="A622" s="32"/>
      <c r="B622" s="299">
        <v>9</v>
      </c>
      <c r="C622" s="282">
        <v>0</v>
      </c>
      <c r="D622" s="274">
        <f>'Vedlegg 1 - Rentekurve'!D18*(1+C421)</f>
        <v>6.3302399999999995E-2</v>
      </c>
      <c r="E622" s="274">
        <f t="shared" si="46"/>
        <v>0</v>
      </c>
      <c r="F622" s="274">
        <f>$C622/POWER(1+(AVERAGE('Vedlegg 1 - Rentekurve'!$D17:D18)),$B622-0.5)</f>
        <v>0</v>
      </c>
      <c r="G622" s="274">
        <f>'Vedlegg 1 - Rentekurve'!D18*(1+D421)</f>
        <v>2.9453199999999995E-2</v>
      </c>
      <c r="H622" s="274">
        <f t="shared" si="47"/>
        <v>0</v>
      </c>
      <c r="I622" s="37"/>
    </row>
    <row r="623" spans="1:9" ht="12.75" customHeight="1">
      <c r="A623" s="32"/>
      <c r="B623" s="299">
        <v>10</v>
      </c>
      <c r="C623" s="282">
        <v>0</v>
      </c>
      <c r="D623" s="274">
        <f>'Vedlegg 1 - Rentekurve'!D19*(1+C422)</f>
        <v>6.2323799999999992E-2</v>
      </c>
      <c r="E623" s="274">
        <f t="shared" si="46"/>
        <v>0</v>
      </c>
      <c r="F623" s="274">
        <f>$C623/POWER(1+(AVERAGE('Vedlegg 1 - Rentekurve'!$D18:D19)),$B623-0.5)</f>
        <v>0</v>
      </c>
      <c r="G623" s="274">
        <f>'Vedlegg 1 - Rentekurve'!D19*(1+D422)</f>
        <v>3.0284099999999998E-2</v>
      </c>
      <c r="H623" s="274">
        <f t="shared" si="47"/>
        <v>0</v>
      </c>
      <c r="I623" s="37"/>
    </row>
    <row r="624" spans="1:9" ht="12.75" customHeight="1">
      <c r="A624" s="32"/>
      <c r="B624" s="299">
        <v>11</v>
      </c>
      <c r="C624" s="282">
        <v>0</v>
      </c>
      <c r="D624" s="274">
        <f>'Vedlegg 1 - Rentekurve'!D20*(1+C423)</f>
        <v>6.0840300000000007E-2</v>
      </c>
      <c r="E624" s="274">
        <f t="shared" si="46"/>
        <v>0</v>
      </c>
      <c r="F624" s="274">
        <f>$C624/POWER(1+(AVERAGE('Vedlegg 1 - Rentekurve'!$D19:D20)),$B624-0.5)</f>
        <v>0</v>
      </c>
      <c r="G624" s="274">
        <f>'Vedlegg 1 - Rentekurve'!D20*(1+D423)</f>
        <v>3.0639E-2</v>
      </c>
      <c r="H624" s="274">
        <f t="shared" si="47"/>
        <v>0</v>
      </c>
      <c r="I624" s="37"/>
    </row>
    <row r="625" spans="1:9" ht="12.75" customHeight="1">
      <c r="A625" s="32"/>
      <c r="B625" s="299">
        <v>12</v>
      </c>
      <c r="C625" s="282">
        <v>0</v>
      </c>
      <c r="D625" s="274">
        <f>'Vedlegg 1 - Rentekurve'!D21*(1+C424)</f>
        <v>5.9745700000000006E-2</v>
      </c>
      <c r="E625" s="274">
        <f t="shared" si="46"/>
        <v>0</v>
      </c>
      <c r="F625" s="274">
        <f>$C625/POWER(1+(AVERAGE('Vedlegg 1 - Rentekurve'!$D20:D21)),$B625-0.5)</f>
        <v>0</v>
      </c>
      <c r="G625" s="274">
        <f>'Vedlegg 1 - Rentekurve'!D21*(1+D424)</f>
        <v>3.09631E-2</v>
      </c>
      <c r="H625" s="274">
        <f t="shared" si="47"/>
        <v>0</v>
      </c>
      <c r="I625" s="37"/>
    </row>
    <row r="626" spans="1:9" ht="12.75" customHeight="1">
      <c r="A626" s="32"/>
      <c r="B626" s="299">
        <v>13</v>
      </c>
      <c r="C626" s="282">
        <v>0</v>
      </c>
      <c r="D626" s="274">
        <f>'Vedlegg 1 - Rentekurve'!D22*(1+C425)</f>
        <v>5.8603500000000003E-2</v>
      </c>
      <c r="E626" s="274">
        <f t="shared" si="46"/>
        <v>0</v>
      </c>
      <c r="F626" s="274">
        <f>$C626/POWER(1+(AVERAGE('Vedlegg 1 - Rentekurve'!$D21:D22)),$B626-0.5)</f>
        <v>0</v>
      </c>
      <c r="G626" s="274">
        <f>'Vedlegg 1 - Rentekurve'!D22*(1+D425)</f>
        <v>3.1255199999999997E-2</v>
      </c>
      <c r="H626" s="274">
        <f t="shared" si="47"/>
        <v>0</v>
      </c>
      <c r="I626" s="37"/>
    </row>
    <row r="627" spans="1:9" ht="12.75" customHeight="1">
      <c r="A627" s="32"/>
      <c r="B627" s="299">
        <v>14</v>
      </c>
      <c r="C627" s="282">
        <v>0</v>
      </c>
      <c r="D627" s="274">
        <f>'Vedlegg 1 - Rentekurve'!D23*(1+C426)</f>
        <v>5.7888000000000009E-2</v>
      </c>
      <c r="E627" s="274">
        <f t="shared" si="46"/>
        <v>0</v>
      </c>
      <c r="F627" s="274">
        <f>$C627/POWER(1+(AVERAGE('Vedlegg 1 - Rentekurve'!$D22:D23)),$B627-0.5)</f>
        <v>0</v>
      </c>
      <c r="G627" s="274">
        <f>'Vedlegg 1 - Rentekurve'!D23*(1+D426)</f>
        <v>3.1104E-2</v>
      </c>
      <c r="H627" s="274">
        <f t="shared" si="47"/>
        <v>0</v>
      </c>
      <c r="I627" s="37"/>
    </row>
    <row r="628" spans="1:9" ht="12.75" customHeight="1">
      <c r="A628" s="32"/>
      <c r="B628" s="299">
        <v>15</v>
      </c>
      <c r="C628" s="282">
        <v>0</v>
      </c>
      <c r="D628" s="274">
        <f>'Vedlegg 1 - Rentekurve'!D24*(1+C427)</f>
        <v>5.7150100000000002E-2</v>
      </c>
      <c r="E628" s="274">
        <f t="shared" si="46"/>
        <v>0</v>
      </c>
      <c r="F628" s="274">
        <f>$C628/POWER(1+(AVERAGE('Vedlegg 1 - Rentekurve'!$D23:D24)),$B628-0.5)</f>
        <v>0</v>
      </c>
      <c r="G628" s="274">
        <f>'Vedlegg 1 - Rentekurve'!D24*(1+D427)</f>
        <v>3.1368100000000003E-2</v>
      </c>
      <c r="H628" s="274">
        <f t="shared" si="47"/>
        <v>0</v>
      </c>
      <c r="I628" s="37"/>
    </row>
    <row r="629" spans="1:9" ht="12.75" customHeight="1">
      <c r="A629" s="32"/>
      <c r="B629" s="299">
        <v>16</v>
      </c>
      <c r="C629" s="282">
        <v>0</v>
      </c>
      <c r="D629" s="274">
        <f>'Vedlegg 1 - Rentekurve'!D25*(1+C428)</f>
        <v>5.5989400000000002E-2</v>
      </c>
      <c r="E629" s="274">
        <f t="shared" si="46"/>
        <v>0</v>
      </c>
      <c r="F629" s="274">
        <f>$C629/POWER(1+(AVERAGE('Vedlegg 1 - Rentekurve'!$D24:D25)),$B629-0.5)</f>
        <v>0</v>
      </c>
      <c r="G629" s="274">
        <f>'Vedlegg 1 - Rentekurve'!D25*(1+D428)</f>
        <v>3.0772799999999999E-2</v>
      </c>
      <c r="H629" s="274">
        <f t="shared" si="47"/>
        <v>0</v>
      </c>
      <c r="I629" s="37"/>
    </row>
    <row r="630" spans="1:9" ht="12.75" customHeight="1">
      <c r="A630" s="32"/>
      <c r="B630" s="299">
        <v>17</v>
      </c>
      <c r="C630" s="282">
        <v>0</v>
      </c>
      <c r="D630" s="274">
        <f>'Vedlegg 1 - Rentekurve'!D26*(1+C429)</f>
        <v>5.5250000000000007E-2</v>
      </c>
      <c r="E630" s="274">
        <f t="shared" si="46"/>
        <v>0</v>
      </c>
      <c r="F630" s="274">
        <f>$C630/POWER(1+(AVERAGE('Vedlegg 1 - Rentekurve'!$D25:D26)),$B630-0.5)</f>
        <v>0</v>
      </c>
      <c r="G630" s="274">
        <f>'Vedlegg 1 - Rentekurve'!D26*(1+D429)</f>
        <v>3.0600000000000002E-2</v>
      </c>
      <c r="H630" s="274">
        <f t="shared" si="47"/>
        <v>0</v>
      </c>
      <c r="I630" s="37"/>
    </row>
    <row r="631" spans="1:9" ht="12.75" customHeight="1">
      <c r="A631" s="32"/>
      <c r="B631" s="299">
        <v>18</v>
      </c>
      <c r="C631" s="282">
        <v>0</v>
      </c>
      <c r="D631" s="274">
        <f>'Vedlegg 1 - Rentekurve'!D27*(1+C430)</f>
        <v>5.4515399999999999E-2</v>
      </c>
      <c r="E631" s="274">
        <f t="shared" si="46"/>
        <v>0</v>
      </c>
      <c r="F631" s="274">
        <f>$C631/POWER(1+(AVERAGE('Vedlegg 1 - Rentekurve'!$D26:D27)),$B631-0.5)</f>
        <v>0</v>
      </c>
      <c r="G631" s="274">
        <f>'Vedlegg 1 - Rentekurve'!D27*(1+D430)</f>
        <v>3.0427199999999998E-2</v>
      </c>
      <c r="H631" s="274">
        <f t="shared" si="47"/>
        <v>0</v>
      </c>
      <c r="I631" s="37"/>
    </row>
    <row r="632" spans="1:9" ht="12.75" customHeight="1">
      <c r="A632" s="32"/>
      <c r="B632" s="299">
        <v>19</v>
      </c>
      <c r="C632" s="282">
        <v>0</v>
      </c>
      <c r="D632" s="274">
        <f>'Vedlegg 1 - Rentekurve'!D28*(1+C431)</f>
        <v>5.3378099999999998E-2</v>
      </c>
      <c r="E632" s="274">
        <f t="shared" si="46"/>
        <v>0</v>
      </c>
      <c r="F632" s="274">
        <f>$C632/POWER(1+(AVERAGE('Vedlegg 1 - Rentekurve'!$D27:D28)),$B632-0.5)</f>
        <v>0</v>
      </c>
      <c r="G632" s="274">
        <f>'Vedlegg 1 - Rentekurve'!D28*(1+D431)</f>
        <v>2.9841299999999998E-2</v>
      </c>
      <c r="H632" s="274">
        <f t="shared" si="47"/>
        <v>0</v>
      </c>
      <c r="I632" s="37"/>
    </row>
    <row r="633" spans="1:9" ht="12.75" customHeight="1">
      <c r="A633" s="32"/>
      <c r="B633" s="299">
        <v>20</v>
      </c>
      <c r="C633" s="282">
        <v>0</v>
      </c>
      <c r="D633" s="274">
        <f>'Vedlegg 1 - Rentekurve'!D29*(1+C432)</f>
        <v>5.2655399999999998E-2</v>
      </c>
      <c r="E633" s="274">
        <f t="shared" si="46"/>
        <v>0</v>
      </c>
      <c r="F633" s="274">
        <f>$C633/POWER(1+(AVERAGE('Vedlegg 1 - Rentekurve'!$D28:D29)),$B633-0.5)</f>
        <v>0</v>
      </c>
      <c r="G633" s="274">
        <f>'Vedlegg 1 - Rentekurve'!D29*(1+D432)</f>
        <v>2.96709E-2</v>
      </c>
      <c r="H633" s="274">
        <f t="shared" si="47"/>
        <v>0</v>
      </c>
      <c r="I633" s="37"/>
    </row>
    <row r="634" spans="1:9" ht="12.75" customHeight="1">
      <c r="A634" s="32"/>
      <c r="B634" s="299">
        <v>21</v>
      </c>
      <c r="C634" s="282">
        <v>0</v>
      </c>
      <c r="D634" s="274">
        <f>'Vedlegg 1 - Rentekurve'!D30*(1+C433)</f>
        <v>5.2365599999999998E-2</v>
      </c>
      <c r="E634" s="274">
        <f t="shared" si="46"/>
        <v>0</v>
      </c>
      <c r="F634" s="274">
        <f>$C634/POWER(1+(AVERAGE('Vedlegg 1 - Rentekurve'!$D29:D30)),$B634-0.5)</f>
        <v>0</v>
      </c>
      <c r="G634" s="274">
        <f>'Vedlegg 1 - Rentekurve'!D30*(1+D433)</f>
        <v>2.9507599999999998E-2</v>
      </c>
      <c r="H634" s="274">
        <f t="shared" si="47"/>
        <v>0</v>
      </c>
      <c r="I634" s="37"/>
    </row>
    <row r="635" spans="1:9" ht="12.75" customHeight="1">
      <c r="A635" s="32"/>
      <c r="B635" s="299">
        <v>22</v>
      </c>
      <c r="C635" s="282">
        <v>0</v>
      </c>
      <c r="D635" s="274">
        <f>'Vedlegg 1 - Rentekurve'!D31*(1+C434)</f>
        <v>5.20884E-2</v>
      </c>
      <c r="E635" s="274">
        <f t="shared" si="46"/>
        <v>0</v>
      </c>
      <c r="F635" s="274">
        <f>$C635/POWER(1+(AVERAGE('Vedlegg 1 - Rentekurve'!$D30:D31)),$B635-0.5)</f>
        <v>0</v>
      </c>
      <c r="G635" s="274">
        <f>'Vedlegg 1 - Rentekurve'!D31*(1+D434)</f>
        <v>2.93514E-2</v>
      </c>
      <c r="H635" s="274">
        <f t="shared" si="47"/>
        <v>0</v>
      </c>
      <c r="I635" s="37"/>
    </row>
    <row r="636" spans="1:9" ht="12.75" customHeight="1">
      <c r="A636" s="32"/>
      <c r="B636" s="299">
        <v>23</v>
      </c>
      <c r="C636" s="282">
        <v>0</v>
      </c>
      <c r="D636" s="274">
        <f>'Vedlegg 1 - Rentekurve'!D32*(1+C435)</f>
        <v>5.1811199999999995E-2</v>
      </c>
      <c r="E636" s="274">
        <f t="shared" si="46"/>
        <v>0</v>
      </c>
      <c r="F636" s="274">
        <f>$C636/POWER(1+(AVERAGE('Vedlegg 1 - Rentekurve'!$D31:D32)),$B636-0.5)</f>
        <v>0</v>
      </c>
      <c r="G636" s="274">
        <f>'Vedlegg 1 - Rentekurve'!D32*(1+D435)</f>
        <v>2.9195199999999998E-2</v>
      </c>
      <c r="H636" s="274">
        <f t="shared" si="47"/>
        <v>0</v>
      </c>
      <c r="I636" s="37"/>
    </row>
    <row r="637" spans="1:9" ht="12.75" customHeight="1">
      <c r="A637" s="32"/>
      <c r="B637" s="299">
        <v>24</v>
      </c>
      <c r="C637" s="282">
        <v>0</v>
      </c>
      <c r="D637" s="274">
        <f>'Vedlegg 1 - Rentekurve'!D33*(1+C436)</f>
        <v>5.1546600000000005E-2</v>
      </c>
      <c r="E637" s="274">
        <f t="shared" si="46"/>
        <v>0</v>
      </c>
      <c r="F637" s="274">
        <f>$C637/POWER(1+(AVERAGE('Vedlegg 1 - Rentekurve'!$D32:D33)),$B637-0.5)</f>
        <v>0</v>
      </c>
      <c r="G637" s="274">
        <f>'Vedlegg 1 - Rentekurve'!D33*(1+D436)</f>
        <v>2.9455200000000001E-2</v>
      </c>
      <c r="H637" s="274">
        <f t="shared" si="47"/>
        <v>0</v>
      </c>
      <c r="I637" s="37"/>
    </row>
    <row r="638" spans="1:9" ht="12.75" customHeight="1">
      <c r="A638" s="32"/>
      <c r="B638" s="299">
        <v>25</v>
      </c>
      <c r="C638" s="282">
        <v>0</v>
      </c>
      <c r="D638" s="274">
        <f>'Vedlegg 1 - Rentekurve'!D34*(1+C437)</f>
        <v>5.1294600000000003E-2</v>
      </c>
      <c r="E638" s="274">
        <f t="shared" si="46"/>
        <v>0</v>
      </c>
      <c r="F638" s="274">
        <f>$C638/POWER(1+(AVERAGE('Vedlegg 1 - Rentekurve'!$D33:D34)),$B638-0.5)</f>
        <v>0</v>
      </c>
      <c r="G638" s="274">
        <f>'Vedlegg 1 - Rentekurve'!D34*(1+D437)</f>
        <v>2.9311200000000003E-2</v>
      </c>
      <c r="H638" s="274">
        <f t="shared" si="47"/>
        <v>0</v>
      </c>
      <c r="I638" s="37"/>
    </row>
    <row r="639" spans="1:9" ht="12.75" customHeight="1">
      <c r="A639" s="32"/>
      <c r="B639" s="299">
        <v>26</v>
      </c>
      <c r="C639" s="282">
        <v>0</v>
      </c>
      <c r="D639" s="274">
        <f>'Vedlegg 1 - Rentekurve'!D35*(1+C438)</f>
        <v>5.0637499999999995E-2</v>
      </c>
      <c r="E639" s="274">
        <f t="shared" si="46"/>
        <v>0</v>
      </c>
      <c r="F639" s="274">
        <f>$C639/POWER(1+(AVERAGE('Vedlegg 1 - Rentekurve'!$D34:D35)),$B639-0.5)</f>
        <v>0</v>
      </c>
      <c r="G639" s="274">
        <f>'Vedlegg 1 - Rentekurve'!D35*(1+D438)</f>
        <v>2.9167199999999997E-2</v>
      </c>
      <c r="H639" s="274">
        <f t="shared" si="47"/>
        <v>0</v>
      </c>
      <c r="I639" s="37"/>
    </row>
    <row r="640" spans="1:9" ht="12.75" customHeight="1">
      <c r="A640" s="32"/>
      <c r="B640" s="299">
        <v>27</v>
      </c>
      <c r="C640" s="282">
        <v>0</v>
      </c>
      <c r="D640" s="274">
        <f>'Vedlegg 1 - Rentekurve'!D36*(1+C439)</f>
        <v>5.0387500000000002E-2</v>
      </c>
      <c r="E640" s="274">
        <f t="shared" si="46"/>
        <v>0</v>
      </c>
      <c r="F640" s="274">
        <f>$C640/POWER(1+(AVERAGE('Vedlegg 1 - Rentekurve'!$D35:D36)),$B640-0.5)</f>
        <v>0</v>
      </c>
      <c r="G640" s="274">
        <f>'Vedlegg 1 - Rentekurve'!D36*(1+D439)</f>
        <v>2.9023199999999999E-2</v>
      </c>
      <c r="H640" s="274">
        <f t="shared" si="47"/>
        <v>0</v>
      </c>
      <c r="I640" s="37"/>
    </row>
    <row r="641" spans="1:9" ht="12.75" customHeight="1">
      <c r="A641" s="32"/>
      <c r="B641" s="299">
        <v>28</v>
      </c>
      <c r="C641" s="282">
        <v>0</v>
      </c>
      <c r="D641" s="274">
        <f>'Vedlegg 1 - Rentekurve'!D37*(1+C440)</f>
        <v>5.0162499999999999E-2</v>
      </c>
      <c r="E641" s="274">
        <f t="shared" si="46"/>
        <v>0</v>
      </c>
      <c r="F641" s="274">
        <f>$C641/POWER(1+(AVERAGE('Vedlegg 1 - Rentekurve'!$D36:D37)),$B641-0.5)</f>
        <v>0</v>
      </c>
      <c r="G641" s="274">
        <f>'Vedlegg 1 - Rentekurve'!D37*(1+D440)</f>
        <v>2.8893599999999998E-2</v>
      </c>
      <c r="H641" s="274">
        <f t="shared" si="47"/>
        <v>0</v>
      </c>
      <c r="I641" s="37"/>
    </row>
    <row r="642" spans="1:9" ht="12.75" customHeight="1">
      <c r="A642" s="32"/>
      <c r="B642" s="299">
        <v>29</v>
      </c>
      <c r="C642" s="282">
        <v>0</v>
      </c>
      <c r="D642" s="274">
        <f>'Vedlegg 1 - Rentekurve'!D38*(1+C441)</f>
        <v>4.9937499999999996E-2</v>
      </c>
      <c r="E642" s="274">
        <f t="shared" si="46"/>
        <v>0</v>
      </c>
      <c r="F642" s="274">
        <f>$C642/POWER(1+(AVERAGE('Vedlegg 1 - Rentekurve'!$D37:D38)),$B642-0.5)</f>
        <v>0</v>
      </c>
      <c r="G642" s="274">
        <f>'Vedlegg 1 - Rentekurve'!D38*(1+D441)</f>
        <v>2.8763999999999998E-2</v>
      </c>
      <c r="H642" s="274">
        <f t="shared" si="47"/>
        <v>0</v>
      </c>
      <c r="I642" s="37"/>
    </row>
    <row r="643" spans="1:9" ht="12.75" customHeight="1">
      <c r="A643" s="32"/>
      <c r="B643" s="299">
        <v>30</v>
      </c>
      <c r="C643" s="282">
        <v>0</v>
      </c>
      <c r="D643" s="274">
        <f>'Vedlegg 1 - Rentekurve'!D39*(1+C442)</f>
        <v>4.97125E-2</v>
      </c>
      <c r="E643" s="274">
        <f t="shared" si="46"/>
        <v>0</v>
      </c>
      <c r="F643" s="274">
        <f>$C643/POWER(1+(AVERAGE('Vedlegg 1 - Rentekurve'!$D38:D39)),$B643-0.5)</f>
        <v>0</v>
      </c>
      <c r="G643" s="274">
        <f>'Vedlegg 1 - Rentekurve'!D39*(1+D442)</f>
        <v>2.8634399999999997E-2</v>
      </c>
      <c r="H643" s="274">
        <f t="shared" si="47"/>
        <v>0</v>
      </c>
      <c r="I643" s="37"/>
    </row>
    <row r="644" spans="1:9" ht="12.75" customHeight="1">
      <c r="A644" s="32"/>
      <c r="B644" s="259">
        <v>31</v>
      </c>
      <c r="C644" s="282">
        <v>0</v>
      </c>
      <c r="D644" s="274">
        <f>'Vedlegg 1 - Rentekurve'!D40*(1+C443)</f>
        <v>4.9512500000000001E-2</v>
      </c>
      <c r="E644" s="274">
        <f t="shared" ref="E644:E673" si="48">$C644/POWER(1+D644,$B644-0.5)</f>
        <v>0</v>
      </c>
      <c r="F644" s="274">
        <f>$C644/POWER(1+(AVERAGE('Vedlegg 1 - Rentekurve'!$D39:D40)),$B644-0.5)</f>
        <v>0</v>
      </c>
      <c r="G644" s="274">
        <f>'Vedlegg 1 - Rentekurve'!D40*(1+D443)</f>
        <v>2.8519199999999998E-2</v>
      </c>
      <c r="H644" s="274">
        <f t="shared" ref="H644:H673" si="49">$C644/POWER(1+G644,$B644-0.5)</f>
        <v>0</v>
      </c>
      <c r="I644" s="37"/>
    </row>
    <row r="645" spans="1:9" ht="12.75" customHeight="1">
      <c r="A645" s="32"/>
      <c r="B645" s="259">
        <v>32</v>
      </c>
      <c r="C645" s="282">
        <v>0</v>
      </c>
      <c r="D645" s="274">
        <f>'Vedlegg 1 - Rentekurve'!D41*(1+C444)</f>
        <v>4.9312499999999995E-2</v>
      </c>
      <c r="E645" s="274">
        <f t="shared" si="48"/>
        <v>0</v>
      </c>
      <c r="F645" s="274">
        <f>$C645/POWER(1+(AVERAGE('Vedlegg 1 - Rentekurve'!$D40:D41)),$B645-0.5)</f>
        <v>0</v>
      </c>
      <c r="G645" s="274">
        <f>'Vedlegg 1 - Rentekurve'!D41*(1+D444)</f>
        <v>2.8403999999999999E-2</v>
      </c>
      <c r="H645" s="274">
        <f t="shared" si="49"/>
        <v>0</v>
      </c>
      <c r="I645" s="37"/>
    </row>
    <row r="646" spans="1:9" ht="12.75" customHeight="1">
      <c r="A646" s="32"/>
      <c r="B646" s="259">
        <v>33</v>
      </c>
      <c r="C646" s="282">
        <v>0</v>
      </c>
      <c r="D646" s="274">
        <f>'Vedlegg 1 - Rentekurve'!D42*(1+C445)</f>
        <v>4.9112499999999996E-2</v>
      </c>
      <c r="E646" s="274">
        <f t="shared" si="48"/>
        <v>0</v>
      </c>
      <c r="F646" s="274">
        <f>$C646/POWER(1+(AVERAGE('Vedlegg 1 - Rentekurve'!$D41:D42)),$B646-0.5)</f>
        <v>0</v>
      </c>
      <c r="G646" s="274">
        <f>'Vedlegg 1 - Rentekurve'!D42*(1+D445)</f>
        <v>2.8288799999999999E-2</v>
      </c>
      <c r="H646" s="274">
        <f t="shared" si="49"/>
        <v>0</v>
      </c>
      <c r="I646" s="37"/>
    </row>
    <row r="647" spans="1:9" ht="12.75" customHeight="1">
      <c r="A647" s="32"/>
      <c r="B647" s="259">
        <v>34</v>
      </c>
      <c r="C647" s="282">
        <v>0</v>
      </c>
      <c r="D647" s="274">
        <f>'Vedlegg 1 - Rentekurve'!D43*(1+C446)</f>
        <v>4.8925000000000003E-2</v>
      </c>
      <c r="E647" s="274">
        <f t="shared" si="48"/>
        <v>0</v>
      </c>
      <c r="F647" s="274">
        <f>$C647/POWER(1+(AVERAGE('Vedlegg 1 - Rentekurve'!$D42:D43)),$B647-0.5)</f>
        <v>0</v>
      </c>
      <c r="G647" s="274">
        <f>'Vedlegg 1 - Rentekurve'!D43*(1+D446)</f>
        <v>2.8180799999999999E-2</v>
      </c>
      <c r="H647" s="274">
        <f t="shared" si="49"/>
        <v>0</v>
      </c>
      <c r="I647" s="37"/>
    </row>
    <row r="648" spans="1:9" ht="12.75" customHeight="1">
      <c r="A648" s="32"/>
      <c r="B648" s="259">
        <v>35</v>
      </c>
      <c r="C648" s="282">
        <v>0</v>
      </c>
      <c r="D648" s="274">
        <f>'Vedlegg 1 - Rentekurve'!D44*(1+C447)</f>
        <v>4.8750000000000002E-2</v>
      </c>
      <c r="E648" s="274">
        <f t="shared" si="48"/>
        <v>0</v>
      </c>
      <c r="F648" s="274">
        <f>$C648/POWER(1+(AVERAGE('Vedlegg 1 - Rentekurve'!$D43:D44)),$B648-0.5)</f>
        <v>0</v>
      </c>
      <c r="G648" s="274">
        <f>'Vedlegg 1 - Rentekurve'!D44*(1+D447)</f>
        <v>2.8079999999999997E-2</v>
      </c>
      <c r="H648" s="274">
        <f t="shared" si="49"/>
        <v>0</v>
      </c>
      <c r="I648" s="37"/>
    </row>
    <row r="649" spans="1:9" ht="12.75" customHeight="1">
      <c r="A649" s="32"/>
      <c r="B649" s="259">
        <v>36</v>
      </c>
      <c r="C649" s="282">
        <v>0</v>
      </c>
      <c r="D649" s="274">
        <f>'Vedlegg 1 - Rentekurve'!D45*(1+C448)</f>
        <v>4.8575E-2</v>
      </c>
      <c r="E649" s="274">
        <f t="shared" si="48"/>
        <v>0</v>
      </c>
      <c r="F649" s="274">
        <f>$C649/POWER(1+(AVERAGE('Vedlegg 1 - Rentekurve'!$D44:D45)),$B649-0.5)</f>
        <v>0</v>
      </c>
      <c r="G649" s="274">
        <f>'Vedlegg 1 - Rentekurve'!D45*(1+D448)</f>
        <v>2.7979199999999999E-2</v>
      </c>
      <c r="H649" s="274">
        <f t="shared" si="49"/>
        <v>0</v>
      </c>
      <c r="I649" s="37"/>
    </row>
    <row r="650" spans="1:9" ht="12.75" customHeight="1">
      <c r="A650" s="32"/>
      <c r="B650" s="259">
        <v>37</v>
      </c>
      <c r="C650" s="282">
        <v>0</v>
      </c>
      <c r="D650" s="274">
        <f>'Vedlegg 1 - Rentekurve'!D46*(1+C449)</f>
        <v>4.8399999999999999E-2</v>
      </c>
      <c r="E650" s="274">
        <f t="shared" si="48"/>
        <v>0</v>
      </c>
      <c r="F650" s="274">
        <f>$C650/POWER(1+(AVERAGE('Vedlegg 1 - Rentekurve'!$D45:D46)),$B650-0.5)</f>
        <v>0</v>
      </c>
      <c r="G650" s="274">
        <f>'Vedlegg 1 - Rentekurve'!D46*(1+D449)</f>
        <v>2.7878399999999998E-2</v>
      </c>
      <c r="H650" s="274">
        <f t="shared" si="49"/>
        <v>0</v>
      </c>
      <c r="I650" s="37"/>
    </row>
    <row r="651" spans="1:9" ht="12.75" customHeight="1">
      <c r="A651" s="32"/>
      <c r="B651" s="259">
        <v>38</v>
      </c>
      <c r="C651" s="282">
        <v>0</v>
      </c>
      <c r="D651" s="274">
        <f>'Vedlegg 1 - Rentekurve'!D47*(1+C450)</f>
        <v>4.8250000000000001E-2</v>
      </c>
      <c r="E651" s="274">
        <f t="shared" si="48"/>
        <v>0</v>
      </c>
      <c r="F651" s="274">
        <f>$C651/POWER(1+(AVERAGE('Vedlegg 1 - Rentekurve'!$D46:D47)),$B651-0.5)</f>
        <v>0</v>
      </c>
      <c r="G651" s="274">
        <f>'Vedlegg 1 - Rentekurve'!D47*(1+D450)</f>
        <v>2.7792000000000001E-2</v>
      </c>
      <c r="H651" s="274">
        <f t="shared" si="49"/>
        <v>0</v>
      </c>
      <c r="I651" s="37"/>
    </row>
    <row r="652" spans="1:9" ht="12.75" customHeight="1">
      <c r="A652" s="32"/>
      <c r="B652" s="259">
        <v>39</v>
      </c>
      <c r="C652" s="282">
        <v>0</v>
      </c>
      <c r="D652" s="274">
        <f>'Vedlegg 1 - Rentekurve'!D48*(1+C451)</f>
        <v>4.8087499999999998E-2</v>
      </c>
      <c r="E652" s="274">
        <f t="shared" si="48"/>
        <v>0</v>
      </c>
      <c r="F652" s="274">
        <f>$C652/POWER(1+(AVERAGE('Vedlegg 1 - Rentekurve'!$D47:D48)),$B652-0.5)</f>
        <v>0</v>
      </c>
      <c r="G652" s="274">
        <f>'Vedlegg 1 - Rentekurve'!D48*(1+D451)</f>
        <v>2.7698399999999998E-2</v>
      </c>
      <c r="H652" s="274">
        <f t="shared" si="49"/>
        <v>0</v>
      </c>
      <c r="I652" s="37"/>
    </row>
    <row r="653" spans="1:9" ht="12.75" customHeight="1">
      <c r="A653" s="32"/>
      <c r="B653" s="259">
        <v>40</v>
      </c>
      <c r="C653" s="282">
        <v>0</v>
      </c>
      <c r="D653" s="274">
        <f>'Vedlegg 1 - Rentekurve'!D49*(1+C452)</f>
        <v>4.7937500000000001E-2</v>
      </c>
      <c r="E653" s="274">
        <f t="shared" si="48"/>
        <v>0</v>
      </c>
      <c r="F653" s="274">
        <f>$C653/POWER(1+(AVERAGE('Vedlegg 1 - Rentekurve'!$D48:D49)),$B653-0.5)</f>
        <v>0</v>
      </c>
      <c r="G653" s="274">
        <f>'Vedlegg 1 - Rentekurve'!D49*(1+D452)</f>
        <v>2.7612000000000001E-2</v>
      </c>
      <c r="H653" s="274">
        <f t="shared" si="49"/>
        <v>0</v>
      </c>
      <c r="I653" s="37"/>
    </row>
    <row r="654" spans="1:9" ht="12.75" customHeight="1">
      <c r="A654" s="32"/>
      <c r="B654" s="259">
        <v>41</v>
      </c>
      <c r="C654" s="282">
        <v>0</v>
      </c>
      <c r="D654" s="274">
        <f>'Vedlegg 1 - Rentekurve'!D50*(1+C453)</f>
        <v>4.7800000000000002E-2</v>
      </c>
      <c r="E654" s="274">
        <f t="shared" si="48"/>
        <v>0</v>
      </c>
      <c r="F654" s="274">
        <f>$C654/POWER(1+(AVERAGE('Vedlegg 1 - Rentekurve'!$D49:D50)),$B654-0.5)</f>
        <v>0</v>
      </c>
      <c r="G654" s="274">
        <f>'Vedlegg 1 - Rentekurve'!D50*(1+D453)</f>
        <v>2.75328E-2</v>
      </c>
      <c r="H654" s="274">
        <f t="shared" si="49"/>
        <v>0</v>
      </c>
      <c r="I654" s="37"/>
    </row>
    <row r="655" spans="1:9" ht="12.75" customHeight="1">
      <c r="A655" s="32"/>
      <c r="B655" s="259">
        <v>42</v>
      </c>
      <c r="C655" s="282">
        <v>0</v>
      </c>
      <c r="D655" s="274">
        <f>'Vedlegg 1 - Rentekurve'!D51*(1+C454)</f>
        <v>4.7662499999999997E-2</v>
      </c>
      <c r="E655" s="274">
        <f t="shared" si="48"/>
        <v>0</v>
      </c>
      <c r="F655" s="274">
        <f>$C655/POWER(1+(AVERAGE('Vedlegg 1 - Rentekurve'!$D50:D51)),$B655-0.5)</f>
        <v>0</v>
      </c>
      <c r="G655" s="274">
        <f>'Vedlegg 1 - Rentekurve'!D51*(1+D454)</f>
        <v>2.7453599999999998E-2</v>
      </c>
      <c r="H655" s="274">
        <f t="shared" si="49"/>
        <v>0</v>
      </c>
      <c r="I655" s="37"/>
    </row>
    <row r="656" spans="1:9" ht="12.75" customHeight="1">
      <c r="A656" s="32"/>
      <c r="B656" s="259">
        <v>43</v>
      </c>
      <c r="C656" s="282">
        <v>0</v>
      </c>
      <c r="D656" s="274">
        <f>'Vedlegg 1 - Rentekurve'!D52*(1+C455)</f>
        <v>4.7524999999999998E-2</v>
      </c>
      <c r="E656" s="274">
        <f t="shared" si="48"/>
        <v>0</v>
      </c>
      <c r="F656" s="274">
        <f>$C656/POWER(1+(AVERAGE('Vedlegg 1 - Rentekurve'!$D51:D52)),$B656-0.5)</f>
        <v>0</v>
      </c>
      <c r="G656" s="274">
        <f>'Vedlegg 1 - Rentekurve'!D52*(1+D455)</f>
        <v>2.7374399999999997E-2</v>
      </c>
      <c r="H656" s="274">
        <f t="shared" si="49"/>
        <v>0</v>
      </c>
      <c r="I656" s="37"/>
    </row>
    <row r="657" spans="1:9" ht="12.75" customHeight="1">
      <c r="A657" s="32"/>
      <c r="B657" s="259">
        <v>44</v>
      </c>
      <c r="C657" s="282">
        <v>0</v>
      </c>
      <c r="D657" s="274">
        <f>'Vedlegg 1 - Rentekurve'!D53*(1+C456)</f>
        <v>4.7400000000000005E-2</v>
      </c>
      <c r="E657" s="274">
        <f t="shared" si="48"/>
        <v>0</v>
      </c>
      <c r="F657" s="274">
        <f>$C657/POWER(1+(AVERAGE('Vedlegg 1 - Rentekurve'!$D52:D53)),$B657-0.5)</f>
        <v>0</v>
      </c>
      <c r="G657" s="274">
        <f>'Vedlegg 1 - Rentekurve'!D53*(1+D456)</f>
        <v>2.7302400000000001E-2</v>
      </c>
      <c r="H657" s="274">
        <f t="shared" si="49"/>
        <v>0</v>
      </c>
      <c r="I657" s="37"/>
    </row>
    <row r="658" spans="1:9" ht="12.75" customHeight="1">
      <c r="A658" s="32"/>
      <c r="B658" s="259">
        <v>45</v>
      </c>
      <c r="C658" s="282">
        <v>0</v>
      </c>
      <c r="D658" s="274">
        <f>'Vedlegg 1 - Rentekurve'!D54*(1+C457)</f>
        <v>4.7274999999999998E-2</v>
      </c>
      <c r="E658" s="274">
        <f t="shared" si="48"/>
        <v>0</v>
      </c>
      <c r="F658" s="274">
        <f>$C658/POWER(1+(AVERAGE('Vedlegg 1 - Rentekurve'!$D53:D54)),$B658-0.5)</f>
        <v>0</v>
      </c>
      <c r="G658" s="274">
        <f>'Vedlegg 1 - Rentekurve'!D54*(1+D457)</f>
        <v>2.7230399999999998E-2</v>
      </c>
      <c r="H658" s="274">
        <f t="shared" si="49"/>
        <v>0</v>
      </c>
      <c r="I658" s="37"/>
    </row>
    <row r="659" spans="1:9" ht="12.75" customHeight="1">
      <c r="A659" s="32"/>
      <c r="B659" s="259">
        <v>46</v>
      </c>
      <c r="C659" s="282">
        <v>0</v>
      </c>
      <c r="D659" s="274">
        <f>'Vedlegg 1 - Rentekurve'!D55*(1+C458)</f>
        <v>4.7149999999999997E-2</v>
      </c>
      <c r="E659" s="274">
        <f t="shared" si="48"/>
        <v>0</v>
      </c>
      <c r="F659" s="274">
        <f>$C659/POWER(1+(AVERAGE('Vedlegg 1 - Rentekurve'!$D54:D55)),$B659-0.5)</f>
        <v>0</v>
      </c>
      <c r="G659" s="274">
        <f>'Vedlegg 1 - Rentekurve'!D55*(1+D458)</f>
        <v>2.7158399999999996E-2</v>
      </c>
      <c r="H659" s="274">
        <f t="shared" si="49"/>
        <v>0</v>
      </c>
      <c r="I659" s="37"/>
    </row>
    <row r="660" spans="1:9" ht="12.75" customHeight="1">
      <c r="A660" s="32"/>
      <c r="B660" s="259">
        <v>47</v>
      </c>
      <c r="C660" s="282">
        <v>0</v>
      </c>
      <c r="D660" s="274">
        <f>'Vedlegg 1 - Rentekurve'!D56*(1+C459)</f>
        <v>4.7037499999999996E-2</v>
      </c>
      <c r="E660" s="274">
        <f t="shared" si="48"/>
        <v>0</v>
      </c>
      <c r="F660" s="274">
        <f>$C660/POWER(1+(AVERAGE('Vedlegg 1 - Rentekurve'!$D55:D56)),$B660-0.5)</f>
        <v>0</v>
      </c>
      <c r="G660" s="274">
        <f>'Vedlegg 1 - Rentekurve'!D56*(1+D459)</f>
        <v>2.7093599999999995E-2</v>
      </c>
      <c r="H660" s="274">
        <f t="shared" si="49"/>
        <v>0</v>
      </c>
      <c r="I660" s="37"/>
    </row>
    <row r="661" spans="1:9" ht="12.75" customHeight="1">
      <c r="A661" s="32"/>
      <c r="B661" s="259">
        <v>48</v>
      </c>
      <c r="C661" s="282">
        <v>0</v>
      </c>
      <c r="D661" s="274">
        <f>'Vedlegg 1 - Rentekurve'!D57*(1+C460)</f>
        <v>4.6924999999999994E-2</v>
      </c>
      <c r="E661" s="274">
        <f t="shared" si="48"/>
        <v>0</v>
      </c>
      <c r="F661" s="274">
        <f>$C661/POWER(1+(AVERAGE('Vedlegg 1 - Rentekurve'!$D56:D57)),$B661-0.5)</f>
        <v>0</v>
      </c>
      <c r="G661" s="274">
        <f>'Vedlegg 1 - Rentekurve'!D57*(1+D460)</f>
        <v>2.7028799999999995E-2</v>
      </c>
      <c r="H661" s="274">
        <f t="shared" si="49"/>
        <v>0</v>
      </c>
      <c r="I661" s="37"/>
    </row>
    <row r="662" spans="1:9" ht="12.75" customHeight="1">
      <c r="A662" s="32"/>
      <c r="B662" s="259">
        <v>49</v>
      </c>
      <c r="C662" s="282">
        <v>0</v>
      </c>
      <c r="D662" s="274">
        <f>'Vedlegg 1 - Rentekurve'!D58*(1+C461)</f>
        <v>4.6812499999999993E-2</v>
      </c>
      <c r="E662" s="274">
        <f t="shared" si="48"/>
        <v>0</v>
      </c>
      <c r="F662" s="274">
        <f>$C662/POWER(1+(AVERAGE('Vedlegg 1 - Rentekurve'!$D57:D58)),$B662-0.5)</f>
        <v>0</v>
      </c>
      <c r="G662" s="274">
        <f>'Vedlegg 1 - Rentekurve'!D58*(1+D461)</f>
        <v>2.6963999999999998E-2</v>
      </c>
      <c r="H662" s="274">
        <f t="shared" si="49"/>
        <v>0</v>
      </c>
      <c r="I662" s="37"/>
    </row>
    <row r="663" spans="1:9" ht="12.75" customHeight="1">
      <c r="A663" s="32"/>
      <c r="B663" s="259">
        <v>50</v>
      </c>
      <c r="C663" s="282">
        <v>0</v>
      </c>
      <c r="D663" s="274">
        <f>'Vedlegg 1 - Rentekurve'!D59*(1+C462)</f>
        <v>4.6712500000000004E-2</v>
      </c>
      <c r="E663" s="274">
        <f t="shared" si="48"/>
        <v>0</v>
      </c>
      <c r="F663" s="274">
        <f>$C663/POWER(1+(AVERAGE('Vedlegg 1 - Rentekurve'!$D58:D59)),$B663-0.5)</f>
        <v>0</v>
      </c>
      <c r="G663" s="274">
        <f>'Vedlegg 1 - Rentekurve'!D59*(1+D462)</f>
        <v>2.69064E-2</v>
      </c>
      <c r="H663" s="274">
        <f t="shared" si="49"/>
        <v>0</v>
      </c>
      <c r="I663" s="37"/>
    </row>
    <row r="664" spans="1:9" ht="12.75" customHeight="1">
      <c r="A664" s="32"/>
      <c r="B664" s="259">
        <v>51</v>
      </c>
      <c r="C664" s="282">
        <v>0</v>
      </c>
      <c r="D664" s="274">
        <f>'Vedlegg 1 - Rentekurve'!D60*(1+C463)</f>
        <v>4.6612499999999994E-2</v>
      </c>
      <c r="E664" s="274">
        <f t="shared" si="48"/>
        <v>0</v>
      </c>
      <c r="F664" s="274">
        <f>$C664/POWER(1+(AVERAGE('Vedlegg 1 - Rentekurve'!$D59:D60)),$B664-0.5)</f>
        <v>0</v>
      </c>
      <c r="G664" s="274">
        <f>'Vedlegg 1 - Rentekurve'!D60*(1+D463)</f>
        <v>2.6848799999999996E-2</v>
      </c>
      <c r="H664" s="274">
        <f t="shared" si="49"/>
        <v>0</v>
      </c>
      <c r="I664" s="37"/>
    </row>
    <row r="665" spans="1:9" ht="12.75" customHeight="1">
      <c r="A665" s="32"/>
      <c r="B665" s="259">
        <v>52</v>
      </c>
      <c r="C665" s="282">
        <v>0</v>
      </c>
      <c r="D665" s="274">
        <f>'Vedlegg 1 - Rentekurve'!D61*(1+C464)</f>
        <v>4.6512499999999998E-2</v>
      </c>
      <c r="E665" s="274">
        <f t="shared" si="48"/>
        <v>0</v>
      </c>
      <c r="F665" s="274">
        <f>$C665/POWER(1+(AVERAGE('Vedlegg 1 - Rentekurve'!$D60:D61)),$B665-0.5)</f>
        <v>0</v>
      </c>
      <c r="G665" s="274">
        <f>'Vedlegg 1 - Rentekurve'!D61*(1+D464)</f>
        <v>2.6791199999999998E-2</v>
      </c>
      <c r="H665" s="274">
        <f t="shared" si="49"/>
        <v>0</v>
      </c>
      <c r="I665" s="37"/>
    </row>
    <row r="666" spans="1:9" ht="12.75" customHeight="1">
      <c r="A666" s="32"/>
      <c r="B666" s="259">
        <v>53</v>
      </c>
      <c r="C666" s="282">
        <v>0</v>
      </c>
      <c r="D666" s="274">
        <f>'Vedlegg 1 - Rentekurve'!D62*(1+C465)</f>
        <v>4.6412500000000002E-2</v>
      </c>
      <c r="E666" s="274">
        <f t="shared" si="48"/>
        <v>0</v>
      </c>
      <c r="F666" s="274">
        <f>$C666/POWER(1+(AVERAGE('Vedlegg 1 - Rentekurve'!$D61:D62)),$B666-0.5)</f>
        <v>0</v>
      </c>
      <c r="G666" s="274">
        <f>'Vedlegg 1 - Rentekurve'!D62*(1+D465)</f>
        <v>2.67336E-2</v>
      </c>
      <c r="H666" s="274">
        <f t="shared" si="49"/>
        <v>0</v>
      </c>
      <c r="I666" s="37"/>
    </row>
    <row r="667" spans="1:9" ht="12.75" customHeight="1">
      <c r="A667" s="32"/>
      <c r="B667" s="259">
        <v>54</v>
      </c>
      <c r="C667" s="282">
        <v>0</v>
      </c>
      <c r="D667" s="274">
        <f>'Vedlegg 1 - Rentekurve'!D63*(1+C466)</f>
        <v>4.6325000000000005E-2</v>
      </c>
      <c r="E667" s="274">
        <f t="shared" si="48"/>
        <v>0</v>
      </c>
      <c r="F667" s="274">
        <f>$C667/POWER(1+(AVERAGE('Vedlegg 1 - Rentekurve'!$D62:D63)),$B667-0.5)</f>
        <v>0</v>
      </c>
      <c r="G667" s="274">
        <f>'Vedlegg 1 - Rentekurve'!D63*(1+D466)</f>
        <v>2.6683200000000001E-2</v>
      </c>
      <c r="H667" s="274">
        <f t="shared" si="49"/>
        <v>0</v>
      </c>
      <c r="I667" s="37"/>
    </row>
    <row r="668" spans="1:9" ht="12.75" customHeight="1">
      <c r="A668" s="32"/>
      <c r="B668" s="259">
        <v>55</v>
      </c>
      <c r="C668" s="282">
        <v>0</v>
      </c>
      <c r="D668" s="274">
        <f>'Vedlegg 1 - Rentekurve'!D64*(1+C467)</f>
        <v>4.6237500000000001E-2</v>
      </c>
      <c r="E668" s="274">
        <f t="shared" si="48"/>
        <v>0</v>
      </c>
      <c r="F668" s="274">
        <f>$C668/POWER(1+(AVERAGE('Vedlegg 1 - Rentekurve'!$D63:D64)),$B668-0.5)</f>
        <v>0</v>
      </c>
      <c r="G668" s="274">
        <f>'Vedlegg 1 - Rentekurve'!D64*(1+D467)</f>
        <v>2.6632800000000002E-2</v>
      </c>
      <c r="H668" s="274">
        <f t="shared" si="49"/>
        <v>0</v>
      </c>
      <c r="I668" s="37"/>
    </row>
    <row r="669" spans="1:9" ht="12.75" customHeight="1">
      <c r="A669" s="32"/>
      <c r="B669" s="259">
        <v>56</v>
      </c>
      <c r="C669" s="282">
        <v>0</v>
      </c>
      <c r="D669" s="274">
        <f>'Vedlegg 1 - Rentekurve'!D65*(1+C468)</f>
        <v>4.6150000000000004E-2</v>
      </c>
      <c r="E669" s="274">
        <f t="shared" si="48"/>
        <v>0</v>
      </c>
      <c r="F669" s="274">
        <f>$C669/POWER(1+(AVERAGE('Vedlegg 1 - Rentekurve'!$D64:D65)),$B669-0.5)</f>
        <v>0</v>
      </c>
      <c r="G669" s="274">
        <f>'Vedlegg 1 - Rentekurve'!D65*(1+D468)</f>
        <v>2.6582399999999999E-2</v>
      </c>
      <c r="H669" s="274">
        <f t="shared" si="49"/>
        <v>0</v>
      </c>
      <c r="I669" s="37"/>
    </row>
    <row r="670" spans="1:9" ht="12.75" customHeight="1">
      <c r="A670" s="32"/>
      <c r="B670" s="259">
        <v>57</v>
      </c>
      <c r="C670" s="282">
        <v>0</v>
      </c>
      <c r="D670" s="274">
        <f>'Vedlegg 1 - Rentekurve'!D66*(1+C469)</f>
        <v>4.6062499999999999E-2</v>
      </c>
      <c r="E670" s="274">
        <f t="shared" si="48"/>
        <v>0</v>
      </c>
      <c r="F670" s="274">
        <f>$C670/POWER(1+(AVERAGE('Vedlegg 1 - Rentekurve'!$D65:D66)),$B670-0.5)</f>
        <v>0</v>
      </c>
      <c r="G670" s="274">
        <f>'Vedlegg 1 - Rentekurve'!D66*(1+D469)</f>
        <v>2.6532E-2</v>
      </c>
      <c r="H670" s="274">
        <f t="shared" si="49"/>
        <v>0</v>
      </c>
      <c r="I670" s="37"/>
    </row>
    <row r="671" spans="1:9" ht="12.75" customHeight="1">
      <c r="A671" s="32"/>
      <c r="B671" s="259">
        <v>58</v>
      </c>
      <c r="C671" s="282">
        <v>0</v>
      </c>
      <c r="D671" s="274">
        <f>'Vedlegg 1 - Rentekurve'!D67*(1+C470)</f>
        <v>4.5987500000000001E-2</v>
      </c>
      <c r="E671" s="274">
        <f t="shared" si="48"/>
        <v>0</v>
      </c>
      <c r="F671" s="274">
        <f>$C671/POWER(1+(AVERAGE('Vedlegg 1 - Rentekurve'!$D66:D67)),$B671-0.5)</f>
        <v>0</v>
      </c>
      <c r="G671" s="274">
        <f>'Vedlegg 1 - Rentekurve'!D67*(1+D470)</f>
        <v>2.64888E-2</v>
      </c>
      <c r="H671" s="274">
        <f t="shared" si="49"/>
        <v>0</v>
      </c>
      <c r="I671" s="37"/>
    </row>
    <row r="672" spans="1:9" ht="12.75" customHeight="1">
      <c r="A672" s="32"/>
      <c r="B672" s="259">
        <v>59</v>
      </c>
      <c r="C672" s="282">
        <v>0</v>
      </c>
      <c r="D672" s="274">
        <f>'Vedlegg 1 - Rentekurve'!D68*(1+C471)</f>
        <v>4.5912499999999995E-2</v>
      </c>
      <c r="E672" s="274">
        <f t="shared" si="48"/>
        <v>0</v>
      </c>
      <c r="F672" s="274">
        <f>$C672/POWER(1+(AVERAGE('Vedlegg 1 - Rentekurve'!$D67:D68)),$B672-0.5)</f>
        <v>0</v>
      </c>
      <c r="G672" s="274">
        <f>'Vedlegg 1 - Rentekurve'!D68*(1+D471)</f>
        <v>2.64456E-2</v>
      </c>
      <c r="H672" s="274">
        <f t="shared" si="49"/>
        <v>0</v>
      </c>
      <c r="I672" s="37"/>
    </row>
    <row r="673" spans="1:9" ht="12.75" customHeight="1">
      <c r="A673" s="32"/>
      <c r="B673" s="259">
        <v>60</v>
      </c>
      <c r="C673" s="282">
        <v>0</v>
      </c>
      <c r="D673" s="274">
        <f>'Vedlegg 1 - Rentekurve'!D69*(1+C472)</f>
        <v>4.5837500000000003E-2</v>
      </c>
      <c r="E673" s="274">
        <f t="shared" si="48"/>
        <v>0</v>
      </c>
      <c r="F673" s="274">
        <f>$C673/POWER(1+(AVERAGE('Vedlegg 1 - Rentekurve'!$D68:D69)),$B673-0.5)</f>
        <v>0</v>
      </c>
      <c r="G673" s="274">
        <f>'Vedlegg 1 - Rentekurve'!D69*(1+D472)</f>
        <v>2.6402399999999999E-2</v>
      </c>
      <c r="H673" s="274">
        <f t="shared" si="49"/>
        <v>0</v>
      </c>
      <c r="I673" s="37"/>
    </row>
    <row r="674" spans="1:9" ht="14.25" customHeight="1">
      <c r="A674" s="32"/>
      <c r="B674" s="33" t="s">
        <v>593</v>
      </c>
      <c r="C674" s="402">
        <f>SUM(C614:C673)</f>
        <v>0</v>
      </c>
      <c r="D674" s="263"/>
      <c r="E674" s="263"/>
      <c r="F674" s="263"/>
      <c r="G674" s="263"/>
      <c r="H674" s="33"/>
      <c r="I674" s="37"/>
    </row>
    <row r="675" spans="1:9" ht="15.75" customHeight="1">
      <c r="A675" s="32"/>
      <c r="B675" s="33"/>
      <c r="C675" s="59"/>
      <c r="D675" s="263"/>
      <c r="E675" s="263"/>
      <c r="F675" s="263"/>
      <c r="G675" s="263"/>
      <c r="H675" s="33"/>
      <c r="I675" s="37"/>
    </row>
    <row r="676" spans="1:9" ht="15.9" customHeight="1">
      <c r="A676" s="32"/>
      <c r="B676" s="30" t="s">
        <v>632</v>
      </c>
      <c r="C676" s="30" t="s">
        <v>633</v>
      </c>
      <c r="D676" s="263"/>
      <c r="E676" s="263"/>
      <c r="F676" s="259" t="s">
        <v>148</v>
      </c>
      <c r="G676" s="274">
        <f>IF(C674&gt;0,SUM(E614:E673)-(SUM(F614:F673))+Markedsrisiko!I99,0)</f>
        <v>0</v>
      </c>
      <c r="H676" s="33"/>
      <c r="I676" s="37"/>
    </row>
    <row r="677" spans="1:9" ht="15.9" customHeight="1">
      <c r="A677" s="32"/>
      <c r="B677" s="30" t="s">
        <v>634</v>
      </c>
      <c r="C677" s="30" t="s">
        <v>635</v>
      </c>
      <c r="D677" s="263"/>
      <c r="E677" s="263"/>
      <c r="F677" s="259" t="s">
        <v>151</v>
      </c>
      <c r="G677" s="274">
        <f>IF(C674&gt;0,SUM(H614:H673)-(SUM(F614:F673))+Markedsrisiko!I101,0)</f>
        <v>0</v>
      </c>
      <c r="H677" s="33"/>
      <c r="I677" s="37"/>
    </row>
    <row r="678" spans="1:9" ht="15.9" customHeight="1">
      <c r="A678" s="32"/>
      <c r="B678" s="33"/>
      <c r="C678" s="59"/>
      <c r="D678" s="263"/>
      <c r="E678" s="263"/>
      <c r="F678" s="263"/>
      <c r="G678" s="263"/>
      <c r="H678" s="33"/>
      <c r="I678" s="37"/>
    </row>
    <row r="679" spans="1:9" ht="15.9" customHeight="1">
      <c r="A679" s="32"/>
      <c r="B679" s="184"/>
      <c r="C679" s="184"/>
      <c r="D679" s="260"/>
      <c r="E679" s="184"/>
      <c r="F679" s="184"/>
      <c r="G679" s="184"/>
      <c r="H679" s="184"/>
      <c r="I679" s="194"/>
    </row>
    <row r="680" spans="1:9">
      <c r="A680" s="403"/>
      <c r="B680" s="38"/>
      <c r="C680" s="38"/>
      <c r="D680" s="38"/>
      <c r="E680" s="38"/>
      <c r="F680" s="38"/>
      <c r="G680" s="38"/>
      <c r="H680" s="38"/>
      <c r="I680" s="38"/>
    </row>
  </sheetData>
  <sheetProtection sheet="1" formatCells="0" formatColumns="0" formatRows="0" insertColumns="0" insertHyperlinks="0" deleteColumns="0" sort="0" autoFilter="0" pivotTables="0"/>
  <mergeCells count="7">
    <mergeCell ref="C337:H337"/>
    <mergeCell ref="C271:F271"/>
    <mergeCell ref="G271:H271"/>
    <mergeCell ref="C6:G6"/>
    <mergeCell ref="C205:F205"/>
    <mergeCell ref="C139:H139"/>
    <mergeCell ref="G205:H205"/>
  </mergeCells>
  <phoneticPr fontId="5" type="noConversion"/>
  <conditionalFormatting sqref="D69:G69">
    <cfRule type="cellIs" dxfId="1" priority="1" stopIfTrue="1" operator="notEqual">
      <formula>D71</formula>
    </cfRule>
  </conditionalFormatting>
  <conditionalFormatting sqref="G202 G268">
    <cfRule type="cellIs" dxfId="0" priority="13" stopIfTrue="1" operator="notEqual">
      <formula>H204</formula>
    </cfRule>
  </conditionalFormatting>
  <pageMargins left="0.75" right="0.75" top="1" bottom="1" header="0.5" footer="0.5"/>
  <pageSetup paperSize="9" scale="48" fitToHeight="8" orientation="landscape" r:id="rId1"/>
  <headerFooter alignWithMargins="0">
    <oddFooter>&amp;CSide &amp;P</oddFooter>
  </headerFooter>
  <rowBreaks count="9" manualBreakCount="9">
    <brk id="72" max="16383" man="1"/>
    <brk id="137" max="16383" man="1"/>
    <brk id="203" max="16383" man="1"/>
    <brk id="269" max="16383" man="1"/>
    <brk id="341" max="16383" man="1"/>
    <brk id="408" max="16383" man="1"/>
    <brk id="473" max="16383" man="1"/>
    <brk id="540" max="16383" man="1"/>
    <brk id="607" max="16383" man="1"/>
  </rowBreaks>
  <ignoredErrors>
    <ignoredError sqref="G9:G38 E142:F171 E348:F377 E478:F503 E545:F574 F614:F643 E172:F196 E197:F201 E382:F407 E381:F381 E378:F380 E504:F507 D508:F537 D504:D507 D481:D503 D575:F604 F644:F673" formulaRange="1"/>
  </ignoredErrors>
  <drawing r:id="rId2"/>
  <legacyDrawing r:id="rId3"/>
  <oleObjects>
    <mc:AlternateContent xmlns:mc="http://schemas.openxmlformats.org/markup-compatibility/2006">
      <mc:Choice Requires="x14">
        <oleObject progId="Equation.3" shapeId="6146" r:id="rId4">
          <objectPr defaultSize="0" autoPict="0" r:id="rId5">
            <anchor moveWithCells="1" sizeWithCells="1">
              <from>
                <xdr:col>1</xdr:col>
                <xdr:colOff>0</xdr:colOff>
                <xdr:row>609</xdr:row>
                <xdr:rowOff>0</xdr:rowOff>
              </from>
              <to>
                <xdr:col>2</xdr:col>
                <xdr:colOff>222250</xdr:colOff>
                <xdr:row>609</xdr:row>
                <xdr:rowOff>0</xdr:rowOff>
              </to>
            </anchor>
          </objectPr>
        </oleObject>
      </mc:Choice>
      <mc:Fallback>
        <oleObject progId="Equation.3" shapeId="6146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6"/>
  <sheetViews>
    <sheetView zoomScale="85" zoomScaleNormal="85" workbookViewId="0"/>
  </sheetViews>
  <sheetFormatPr baseColWidth="10" defaultColWidth="11.453125" defaultRowHeight="12.5"/>
  <cols>
    <col min="1" max="3" width="26.453125" customWidth="1"/>
    <col min="4" max="4" width="34" customWidth="1"/>
    <col min="5" max="5" width="32.08984375" customWidth="1"/>
    <col min="6" max="8" width="31.453125" customWidth="1"/>
    <col min="9" max="9" width="35.36328125" customWidth="1"/>
    <col min="10" max="10" width="30.90625" customWidth="1"/>
    <col min="11" max="11" width="6.6328125" customWidth="1"/>
  </cols>
  <sheetData>
    <row r="1" spans="1:11">
      <c r="A1" s="5"/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13">
      <c r="A2" s="202" t="s">
        <v>636</v>
      </c>
      <c r="B2" s="203" t="s">
        <v>637</v>
      </c>
      <c r="C2" s="10"/>
      <c r="D2" s="10"/>
      <c r="E2" s="10"/>
      <c r="F2" s="10"/>
      <c r="G2" s="10"/>
      <c r="H2" s="10"/>
      <c r="I2" s="10"/>
      <c r="J2" s="10"/>
      <c r="K2" s="12"/>
    </row>
    <row r="3" spans="1:11" ht="25">
      <c r="A3" s="32"/>
      <c r="B3" s="33"/>
      <c r="C3" s="33"/>
      <c r="D3" s="10"/>
      <c r="E3" s="33"/>
      <c r="F3" s="201" t="s">
        <v>638</v>
      </c>
      <c r="G3" s="201"/>
      <c r="H3" s="201"/>
      <c r="I3" s="10"/>
      <c r="J3" s="10"/>
      <c r="K3" s="12"/>
    </row>
    <row r="4" spans="1:11" ht="37.5" customHeight="1">
      <c r="A4" s="404"/>
      <c r="B4" s="199" t="s">
        <v>639</v>
      </c>
      <c r="C4" s="199" t="s">
        <v>640</v>
      </c>
      <c r="D4" s="199" t="s">
        <v>641</v>
      </c>
      <c r="E4" s="207" t="s">
        <v>642</v>
      </c>
      <c r="F4" s="199" t="s">
        <v>643</v>
      </c>
      <c r="G4" s="199" t="s">
        <v>644</v>
      </c>
      <c r="H4" s="199" t="s">
        <v>645</v>
      </c>
      <c r="I4" s="199" t="s">
        <v>646</v>
      </c>
      <c r="J4" s="198" t="s">
        <v>647</v>
      </c>
      <c r="K4" s="37"/>
    </row>
    <row r="5" spans="1:11" ht="24.9" customHeight="1">
      <c r="A5" s="248" t="s">
        <v>648</v>
      </c>
      <c r="B5" s="405"/>
      <c r="C5" s="406"/>
      <c r="D5" s="217"/>
      <c r="E5" s="217"/>
      <c r="F5" s="217"/>
      <c r="G5" s="217"/>
      <c r="H5" s="217"/>
      <c r="I5" s="217"/>
      <c r="J5" s="217"/>
      <c r="K5" s="12"/>
    </row>
    <row r="6" spans="1:11" ht="24.9" customHeight="1">
      <c r="A6" s="248"/>
      <c r="B6" s="405"/>
      <c r="C6" s="405"/>
      <c r="D6" s="218"/>
      <c r="E6" s="218"/>
      <c r="F6" s="218"/>
      <c r="G6" s="218"/>
      <c r="H6" s="218"/>
      <c r="I6" s="218"/>
      <c r="J6" s="218"/>
      <c r="K6" s="12"/>
    </row>
    <row r="7" spans="1:11" ht="24.9" customHeight="1">
      <c r="A7" s="407"/>
      <c r="B7" s="408"/>
      <c r="C7" s="408"/>
      <c r="D7" s="219"/>
      <c r="E7" s="219"/>
      <c r="F7" s="219"/>
      <c r="G7" s="219"/>
      <c r="H7" s="219"/>
      <c r="I7" s="219"/>
      <c r="J7" s="219"/>
      <c r="K7" s="12"/>
    </row>
    <row r="8" spans="1:11" ht="24.9" customHeight="1">
      <c r="A8" s="248"/>
      <c r="B8" s="405"/>
      <c r="C8" s="405"/>
      <c r="D8" s="218"/>
      <c r="E8" s="218"/>
      <c r="F8" s="218"/>
      <c r="G8" s="218"/>
      <c r="H8" s="218"/>
      <c r="I8" s="218"/>
      <c r="J8" s="218"/>
      <c r="K8" s="12"/>
    </row>
    <row r="9" spans="1:11" ht="24.9" customHeight="1">
      <c r="A9" s="248" t="s">
        <v>649</v>
      </c>
      <c r="B9" s="405"/>
      <c r="C9" s="405"/>
      <c r="D9" s="218"/>
      <c r="E9" s="218"/>
      <c r="F9" s="218"/>
      <c r="G9" s="218"/>
      <c r="H9" s="218"/>
      <c r="I9" s="218"/>
      <c r="J9" s="218"/>
      <c r="K9" s="12"/>
    </row>
    <row r="10" spans="1:11" ht="24.9" customHeight="1">
      <c r="A10" s="248"/>
      <c r="B10" s="405"/>
      <c r="C10" s="405"/>
      <c r="D10" s="218"/>
      <c r="E10" s="218"/>
      <c r="F10" s="218"/>
      <c r="G10" s="218"/>
      <c r="H10" s="218"/>
      <c r="I10" s="218"/>
      <c r="J10" s="218"/>
      <c r="K10" s="12"/>
    </row>
    <row r="11" spans="1:11" ht="24.9" customHeight="1">
      <c r="A11" s="248"/>
      <c r="B11" s="408"/>
      <c r="C11" s="408"/>
      <c r="D11" s="219"/>
      <c r="E11" s="219"/>
      <c r="F11" s="219"/>
      <c r="G11" s="219"/>
      <c r="H11" s="219"/>
      <c r="I11" s="219"/>
      <c r="J11" s="219"/>
      <c r="K11" s="12"/>
    </row>
    <row r="12" spans="1:11" ht="24.9" customHeight="1">
      <c r="A12" s="247"/>
      <c r="B12" s="406"/>
      <c r="C12" s="405"/>
      <c r="D12" s="218"/>
      <c r="E12" s="218"/>
      <c r="F12" s="218"/>
      <c r="G12" s="218"/>
      <c r="H12" s="218"/>
      <c r="I12" s="218"/>
      <c r="J12" s="218"/>
      <c r="K12" s="12"/>
    </row>
    <row r="13" spans="1:11" ht="24.9" customHeight="1">
      <c r="A13" s="248" t="s">
        <v>650</v>
      </c>
      <c r="B13" s="405"/>
      <c r="C13" s="405"/>
      <c r="D13" s="218"/>
      <c r="E13" s="218"/>
      <c r="F13" s="218"/>
      <c r="G13" s="218"/>
      <c r="H13" s="218"/>
      <c r="I13" s="218"/>
      <c r="J13" s="218"/>
      <c r="K13" s="12"/>
    </row>
    <row r="14" spans="1:11" ht="24.9" customHeight="1">
      <c r="A14" s="407"/>
      <c r="B14" s="408"/>
      <c r="C14" s="408"/>
      <c r="D14" s="219"/>
      <c r="E14" s="219"/>
      <c r="F14" s="219"/>
      <c r="G14" s="219"/>
      <c r="H14" s="219"/>
      <c r="I14" s="219"/>
      <c r="J14" s="219"/>
      <c r="K14" s="12"/>
    </row>
    <row r="15" spans="1:11" ht="24.9" customHeight="1">
      <c r="A15" s="247"/>
      <c r="B15" s="406"/>
      <c r="C15" s="405"/>
      <c r="D15" s="218"/>
      <c r="E15" s="218"/>
      <c r="F15" s="218"/>
      <c r="G15" s="218"/>
      <c r="H15" s="218"/>
      <c r="I15" s="218"/>
      <c r="J15" s="218"/>
      <c r="K15" s="12"/>
    </row>
    <row r="16" spans="1:11" ht="24.9" customHeight="1">
      <c r="A16" s="248" t="s">
        <v>651</v>
      </c>
      <c r="B16" s="405"/>
      <c r="C16" s="405"/>
      <c r="D16" s="218"/>
      <c r="E16" s="218"/>
      <c r="F16" s="218"/>
      <c r="G16" s="218"/>
      <c r="H16" s="218"/>
      <c r="I16" s="218"/>
      <c r="J16" s="218"/>
      <c r="K16" s="12"/>
    </row>
    <row r="17" spans="1:11" ht="24.9" customHeight="1">
      <c r="A17" s="407"/>
      <c r="B17" s="408"/>
      <c r="C17" s="408"/>
      <c r="D17" s="219"/>
      <c r="E17" s="219"/>
      <c r="F17" s="219"/>
      <c r="G17" s="219"/>
      <c r="H17" s="219"/>
      <c r="I17" s="219"/>
      <c r="J17" s="219"/>
      <c r="K17" s="12"/>
    </row>
    <row r="18" spans="1:11" ht="24.9" customHeight="1">
      <c r="A18" s="247"/>
      <c r="B18" s="406"/>
      <c r="C18" s="405"/>
      <c r="D18" s="218"/>
      <c r="E18" s="218"/>
      <c r="F18" s="218"/>
      <c r="G18" s="218"/>
      <c r="H18" s="218"/>
      <c r="I18" s="218"/>
      <c r="J18" s="218"/>
      <c r="K18" s="12"/>
    </row>
    <row r="19" spans="1:11" ht="24.9" customHeight="1">
      <c r="A19" s="248" t="s">
        <v>652</v>
      </c>
      <c r="B19" s="405"/>
      <c r="C19" s="405"/>
      <c r="D19" s="218"/>
      <c r="E19" s="218"/>
      <c r="F19" s="218"/>
      <c r="G19" s="218"/>
      <c r="H19" s="218"/>
      <c r="I19" s="218"/>
      <c r="J19" s="218"/>
      <c r="K19" s="12"/>
    </row>
    <row r="20" spans="1:11" ht="24.9" customHeight="1">
      <c r="A20" s="407"/>
      <c r="B20" s="408"/>
      <c r="C20" s="408"/>
      <c r="D20" s="219"/>
      <c r="E20" s="219"/>
      <c r="F20" s="219"/>
      <c r="G20" s="219"/>
      <c r="H20" s="219"/>
      <c r="I20" s="219"/>
      <c r="J20" s="219"/>
      <c r="K20" s="12"/>
    </row>
    <row r="21" spans="1:11">
      <c r="A21" s="32"/>
      <c r="B21" s="33"/>
      <c r="C21" s="33"/>
      <c r="D21" s="33"/>
      <c r="E21" s="33"/>
      <c r="F21" s="33"/>
      <c r="G21" s="33"/>
      <c r="H21" s="33"/>
      <c r="I21" s="33"/>
      <c r="J21" s="10"/>
      <c r="K21" s="12"/>
    </row>
    <row r="22" spans="1:11" ht="30.75" customHeight="1">
      <c r="A22" s="445" t="s">
        <v>653</v>
      </c>
      <c r="B22" s="446"/>
      <c r="C22" s="216"/>
      <c r="D22" s="216"/>
      <c r="E22" s="216"/>
      <c r="F22" s="216"/>
      <c r="G22" s="216"/>
      <c r="H22" s="216"/>
      <c r="I22" s="216"/>
      <c r="J22" s="216"/>
      <c r="K22" s="12"/>
    </row>
    <row r="23" spans="1:11">
      <c r="A23" s="32"/>
      <c r="B23" s="33"/>
      <c r="C23" s="33"/>
      <c r="D23" s="33"/>
      <c r="E23" s="33"/>
      <c r="F23" s="33"/>
      <c r="G23" s="33"/>
      <c r="H23" s="33"/>
      <c r="I23" s="33"/>
      <c r="J23" s="10"/>
      <c r="K23" s="12"/>
    </row>
    <row r="24" spans="1:11">
      <c r="A24" s="32"/>
      <c r="B24" s="33"/>
      <c r="C24" s="33"/>
      <c r="D24" s="33"/>
      <c r="E24" s="33"/>
      <c r="F24" s="33"/>
      <c r="G24" s="33"/>
      <c r="H24" s="33"/>
      <c r="I24" s="33"/>
      <c r="J24" s="10"/>
      <c r="K24" s="12"/>
    </row>
    <row r="25" spans="1:11" ht="15.5">
      <c r="A25" s="226" t="s">
        <v>654</v>
      </c>
      <c r="B25" s="33"/>
      <c r="C25" s="33"/>
      <c r="D25" s="10"/>
      <c r="E25" s="10"/>
      <c r="F25" s="10"/>
      <c r="G25" s="10"/>
      <c r="H25" s="10"/>
      <c r="I25" s="10"/>
      <c r="J25" s="10"/>
      <c r="K25" s="12"/>
    </row>
    <row r="26" spans="1:11" ht="15.5">
      <c r="A26" s="226"/>
      <c r="B26" s="33"/>
      <c r="C26" s="33"/>
      <c r="D26" s="10"/>
      <c r="E26" s="10"/>
      <c r="F26" s="10"/>
      <c r="G26" s="10"/>
      <c r="H26" s="10"/>
      <c r="I26" s="10"/>
      <c r="J26" s="10"/>
      <c r="K26" s="12"/>
    </row>
    <row r="27" spans="1:11" ht="21.9" customHeight="1">
      <c r="A27" s="124" t="s">
        <v>655</v>
      </c>
      <c r="B27" s="33" t="s">
        <v>670</v>
      </c>
      <c r="C27" s="33"/>
      <c r="D27" s="33"/>
      <c r="E27" s="10"/>
      <c r="F27" s="10"/>
      <c r="G27" s="10"/>
      <c r="H27" s="10"/>
      <c r="I27" s="10"/>
      <c r="J27" s="10"/>
      <c r="K27" s="12"/>
    </row>
    <row r="28" spans="1:11" ht="21.9" customHeight="1">
      <c r="A28" s="124" t="s">
        <v>640</v>
      </c>
      <c r="B28" s="33" t="s">
        <v>656</v>
      </c>
      <c r="C28" s="33"/>
      <c r="D28" s="33"/>
      <c r="E28" s="10"/>
      <c r="F28" s="10"/>
      <c r="G28" s="10"/>
      <c r="H28" s="10"/>
      <c r="I28" s="10"/>
      <c r="J28" s="10"/>
      <c r="K28" s="12"/>
    </row>
    <row r="29" spans="1:11" ht="21.9" customHeight="1">
      <c r="A29" s="124" t="s">
        <v>657</v>
      </c>
      <c r="B29" s="33" t="s">
        <v>658</v>
      </c>
      <c r="C29" s="33"/>
      <c r="D29" s="33"/>
      <c r="E29" s="10"/>
      <c r="F29" s="10"/>
      <c r="G29" s="10"/>
      <c r="H29" s="10"/>
      <c r="I29" s="10"/>
      <c r="J29" s="10"/>
      <c r="K29" s="12"/>
    </row>
    <row r="30" spans="1:11" ht="21.9" customHeight="1">
      <c r="A30" s="124" t="s">
        <v>659</v>
      </c>
      <c r="B30" s="33" t="s">
        <v>672</v>
      </c>
      <c r="C30" s="33"/>
      <c r="D30" s="33"/>
      <c r="E30" s="10"/>
      <c r="F30" s="10"/>
      <c r="G30" s="10"/>
      <c r="H30" s="10"/>
      <c r="I30" s="10"/>
      <c r="J30" s="10"/>
      <c r="K30" s="12"/>
    </row>
    <row r="31" spans="1:11" ht="21.9" customHeight="1">
      <c r="A31" s="124" t="s">
        <v>643</v>
      </c>
      <c r="B31" s="33" t="s">
        <v>674</v>
      </c>
      <c r="C31" s="33"/>
      <c r="D31" s="33"/>
      <c r="E31" s="10"/>
      <c r="F31" s="10"/>
      <c r="G31" s="10"/>
      <c r="H31" s="10"/>
      <c r="I31" s="10"/>
      <c r="J31" s="10"/>
      <c r="K31" s="12"/>
    </row>
    <row r="32" spans="1:11" ht="38.4" customHeight="1">
      <c r="A32" s="410" t="s">
        <v>660</v>
      </c>
      <c r="B32" s="33" t="s">
        <v>661</v>
      </c>
      <c r="C32" s="33"/>
      <c r="D32" s="33"/>
      <c r="E32" s="10"/>
      <c r="F32" s="10"/>
      <c r="G32" s="10"/>
      <c r="H32" s="10"/>
      <c r="I32" s="10"/>
      <c r="J32" s="10"/>
      <c r="K32" s="12"/>
    </row>
    <row r="33" spans="1:11" ht="21.9" customHeight="1">
      <c r="A33" s="32"/>
      <c r="B33" s="33" t="s">
        <v>662</v>
      </c>
      <c r="C33" s="33"/>
      <c r="D33" s="33"/>
      <c r="E33" s="10"/>
      <c r="F33" s="10"/>
      <c r="G33" s="10"/>
      <c r="H33" s="10"/>
      <c r="I33" s="10"/>
      <c r="J33" s="10"/>
      <c r="K33" s="12"/>
    </row>
    <row r="34" spans="1:11" ht="21.9" customHeight="1">
      <c r="A34" s="124" t="s">
        <v>647</v>
      </c>
      <c r="B34" s="33" t="s">
        <v>673</v>
      </c>
      <c r="C34" s="33"/>
      <c r="D34" s="33"/>
      <c r="E34" s="10"/>
      <c r="F34" s="10"/>
      <c r="G34" s="10"/>
      <c r="H34" s="10"/>
      <c r="I34" s="10"/>
      <c r="J34" s="10"/>
      <c r="K34" s="12"/>
    </row>
    <row r="35" spans="1:11">
      <c r="A35" s="32"/>
      <c r="B35" s="33"/>
      <c r="C35" s="33"/>
      <c r="D35" s="10"/>
      <c r="E35" s="10"/>
      <c r="F35" s="10"/>
      <c r="G35" s="10"/>
      <c r="H35" s="10"/>
      <c r="I35" s="10"/>
      <c r="J35" s="10"/>
      <c r="K35" s="12"/>
    </row>
    <row r="36" spans="1:11">
      <c r="A36" s="43"/>
      <c r="B36" s="184"/>
      <c r="C36" s="184"/>
      <c r="D36" s="26"/>
      <c r="E36" s="26"/>
      <c r="F36" s="26"/>
      <c r="G36" s="26"/>
      <c r="H36" s="26"/>
      <c r="I36" s="26"/>
      <c r="J36" s="26"/>
      <c r="K36" s="56"/>
    </row>
  </sheetData>
  <sheetProtection sheet="1" formatCells="0" formatColumns="0" formatRows="0" insertColumns="0" insertHyperlinks="0" deleteColumns="0" sort="0" autoFilter="0" pivotTables="0"/>
  <mergeCells count="1">
    <mergeCell ref="A22:B22"/>
  </mergeCells>
  <pageMargins left="0.7" right="0.7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84"/>
  <sheetViews>
    <sheetView zoomScale="85" zoomScaleNormal="85" workbookViewId="0"/>
  </sheetViews>
  <sheetFormatPr baseColWidth="10" defaultColWidth="9.08984375" defaultRowHeight="12.5"/>
  <cols>
    <col min="1" max="1" width="4.6328125" style="2" customWidth="1"/>
    <col min="2" max="2" width="9.08984375" style="2" customWidth="1"/>
    <col min="3" max="3" width="26.08984375" style="2" customWidth="1"/>
    <col min="4" max="7" width="18.36328125" style="2" customWidth="1"/>
    <col min="8" max="10" width="18.6328125" style="2" customWidth="1"/>
    <col min="11" max="11" width="21" style="2" customWidth="1"/>
    <col min="12" max="13" width="18.36328125" style="2" customWidth="1"/>
    <col min="14" max="14" width="17.6328125" style="2" customWidth="1"/>
    <col min="15" max="15" width="4.6328125" style="2" customWidth="1"/>
    <col min="16" max="16" width="16.90625" style="2" customWidth="1"/>
    <col min="17" max="16384" width="9.08984375" style="2"/>
  </cols>
  <sheetData>
    <row r="1" spans="1:17">
      <c r="A1" s="39"/>
      <c r="B1" s="58"/>
      <c r="C1" s="276"/>
      <c r="D1" s="277"/>
      <c r="E1" s="29"/>
      <c r="F1" s="277"/>
      <c r="G1" s="277"/>
      <c r="H1" s="278"/>
      <c r="I1" s="279"/>
      <c r="J1" s="279"/>
      <c r="K1" s="279"/>
      <c r="L1" s="279"/>
      <c r="M1" s="279"/>
      <c r="N1" s="279"/>
      <c r="O1" s="280"/>
      <c r="P1" s="38"/>
      <c r="Q1" s="38"/>
    </row>
    <row r="2" spans="1:17" ht="17.5">
      <c r="A2" s="32"/>
      <c r="B2" s="23" t="s">
        <v>54</v>
      </c>
      <c r="C2" s="24"/>
      <c r="D2" s="24"/>
      <c r="E2" s="184"/>
      <c r="F2" s="184"/>
      <c r="G2" s="184"/>
      <c r="H2" s="260"/>
      <c r="I2" s="33"/>
      <c r="J2" s="33"/>
      <c r="K2" s="184"/>
      <c r="L2" s="184"/>
      <c r="M2" s="184"/>
      <c r="N2" s="33"/>
      <c r="O2" s="37"/>
      <c r="P2" s="38"/>
      <c r="Q2" s="38"/>
    </row>
    <row r="3" spans="1:17" ht="17.5">
      <c r="A3" s="32"/>
      <c r="B3" s="229"/>
      <c r="C3" s="28"/>
      <c r="D3" s="28"/>
      <c r="E3" s="33"/>
      <c r="F3" s="33"/>
      <c r="G3" s="33"/>
      <c r="H3" s="259"/>
      <c r="I3" s="281"/>
      <c r="J3" s="281"/>
      <c r="K3" s="184"/>
      <c r="L3" s="33"/>
      <c r="M3" s="33"/>
      <c r="N3" s="33"/>
      <c r="O3" s="37"/>
      <c r="P3" s="38"/>
      <c r="Q3" s="38"/>
    </row>
    <row r="4" spans="1:17" ht="15.75" customHeight="1">
      <c r="A4" s="32"/>
      <c r="B4" s="59" t="s">
        <v>55</v>
      </c>
      <c r="C4" s="28"/>
      <c r="D4" s="28"/>
      <c r="E4" s="33"/>
      <c r="F4" s="33"/>
      <c r="G4" s="33"/>
      <c r="H4" s="246" t="s">
        <v>56</v>
      </c>
      <c r="I4" s="246" t="s">
        <v>57</v>
      </c>
      <c r="J4" s="246" t="s">
        <v>58</v>
      </c>
      <c r="K4" s="246" t="s">
        <v>59</v>
      </c>
      <c r="L4" s="246" t="s">
        <v>60</v>
      </c>
      <c r="M4" s="246" t="s">
        <v>61</v>
      </c>
      <c r="N4" s="33"/>
      <c r="O4" s="37"/>
      <c r="P4" s="38"/>
      <c r="Q4" s="38"/>
    </row>
    <row r="5" spans="1:17" ht="12.9" customHeight="1">
      <c r="A5" s="32"/>
      <c r="B5" s="30" t="s">
        <v>62</v>
      </c>
      <c r="C5" s="33" t="s">
        <v>63</v>
      </c>
      <c r="D5" s="33"/>
      <c r="E5" s="33"/>
      <c r="F5" s="33"/>
      <c r="G5" s="259" t="s">
        <v>64</v>
      </c>
      <c r="H5" s="282">
        <v>0</v>
      </c>
      <c r="I5" s="282">
        <v>0</v>
      </c>
      <c r="J5" s="282">
        <v>0</v>
      </c>
      <c r="K5" s="282">
        <v>0</v>
      </c>
      <c r="L5" s="282">
        <v>0</v>
      </c>
      <c r="M5" s="274">
        <f>SUM(H5:L5)</f>
        <v>0</v>
      </c>
      <c r="N5" s="33"/>
      <c r="O5" s="37"/>
      <c r="P5" s="38"/>
      <c r="Q5" s="38"/>
    </row>
    <row r="6" spans="1:17" ht="12.9" customHeight="1">
      <c r="A6" s="32"/>
      <c r="B6" s="30" t="s">
        <v>65</v>
      </c>
      <c r="C6" s="33" t="s">
        <v>66</v>
      </c>
      <c r="D6" s="33"/>
      <c r="E6" s="33"/>
      <c r="F6" s="33"/>
      <c r="G6" s="259" t="s">
        <v>67</v>
      </c>
      <c r="H6" s="282">
        <v>0</v>
      </c>
      <c r="I6" s="282">
        <v>0</v>
      </c>
      <c r="J6" s="282">
        <v>0</v>
      </c>
      <c r="K6" s="39"/>
      <c r="L6" s="282">
        <v>0</v>
      </c>
      <c r="M6" s="274">
        <f>SUM(H6:L6)</f>
        <v>0</v>
      </c>
      <c r="N6" s="33"/>
      <c r="O6" s="37"/>
      <c r="P6" s="38"/>
      <c r="Q6" s="38"/>
    </row>
    <row r="7" spans="1:17" ht="11.4" customHeight="1">
      <c r="A7" s="32"/>
      <c r="B7" s="60" t="s">
        <v>68</v>
      </c>
      <c r="C7" s="427" t="s">
        <v>664</v>
      </c>
      <c r="D7" s="427"/>
      <c r="E7" s="427"/>
      <c r="F7" s="33"/>
      <c r="G7" s="259" t="s">
        <v>69</v>
      </c>
      <c r="H7" s="274">
        <f>H5+H6</f>
        <v>0</v>
      </c>
      <c r="I7" s="274">
        <f t="shared" ref="I7:M7" si="0">I5+I6</f>
        <v>0</v>
      </c>
      <c r="J7" s="274">
        <f t="shared" si="0"/>
        <v>0</v>
      </c>
      <c r="K7" s="274">
        <f t="shared" si="0"/>
        <v>0</v>
      </c>
      <c r="L7" s="274">
        <f t="shared" si="0"/>
        <v>0</v>
      </c>
      <c r="M7" s="274">
        <f t="shared" si="0"/>
        <v>0</v>
      </c>
      <c r="N7" s="33"/>
      <c r="O7" s="37"/>
      <c r="P7" s="38"/>
      <c r="Q7" s="38"/>
    </row>
    <row r="8" spans="1:17" ht="20.25" customHeight="1">
      <c r="A8" s="32"/>
      <c r="B8" s="60"/>
      <c r="C8" s="258"/>
      <c r="D8" s="258"/>
      <c r="E8" s="258"/>
      <c r="F8" s="33"/>
      <c r="G8" s="259"/>
      <c r="H8" s="263"/>
      <c r="I8" s="263"/>
      <c r="J8" s="263"/>
      <c r="K8" s="33"/>
      <c r="L8" s="33"/>
      <c r="M8" s="33"/>
      <c r="N8" s="33"/>
      <c r="O8" s="37"/>
      <c r="P8" s="38"/>
      <c r="Q8" s="38"/>
    </row>
    <row r="9" spans="1:17" ht="12.9" customHeight="1">
      <c r="A9" s="32"/>
      <c r="B9" s="30" t="s">
        <v>70</v>
      </c>
      <c r="C9" s="33" t="s">
        <v>71</v>
      </c>
      <c r="D9" s="33"/>
      <c r="E9" s="33"/>
      <c r="F9" s="33"/>
      <c r="G9" s="259" t="s">
        <v>72</v>
      </c>
      <c r="H9" s="283">
        <v>0</v>
      </c>
      <c r="I9" s="283">
        <v>0</v>
      </c>
      <c r="J9" s="283">
        <v>0</v>
      </c>
      <c r="K9" s="33"/>
      <c r="L9" s="33"/>
      <c r="M9" s="33"/>
      <c r="N9" s="33"/>
      <c r="O9" s="37"/>
      <c r="P9" s="284"/>
      <c r="Q9" s="38"/>
    </row>
    <row r="10" spans="1:17" ht="12.9" customHeight="1">
      <c r="A10" s="32"/>
      <c r="B10" s="30" t="s">
        <v>73</v>
      </c>
      <c r="C10" s="33" t="s">
        <v>74</v>
      </c>
      <c r="D10" s="33"/>
      <c r="E10" s="33"/>
      <c r="F10" s="33"/>
      <c r="G10" s="259" t="s">
        <v>75</v>
      </c>
      <c r="H10" s="285">
        <v>0</v>
      </c>
      <c r="I10" s="285">
        <v>0</v>
      </c>
      <c r="J10" s="285">
        <v>0</v>
      </c>
      <c r="K10" s="255"/>
      <c r="L10" s="255"/>
      <c r="M10" s="33"/>
      <c r="N10" s="33"/>
      <c r="O10" s="37"/>
      <c r="P10" s="286"/>
      <c r="Q10" s="38"/>
    </row>
    <row r="11" spans="1:17" ht="15.9" customHeight="1">
      <c r="A11" s="32"/>
      <c r="B11" s="30" t="s">
        <v>76</v>
      </c>
      <c r="C11" s="33" t="s">
        <v>77</v>
      </c>
      <c r="D11" s="33"/>
      <c r="E11" s="33"/>
      <c r="F11" s="33"/>
      <c r="G11" s="259" t="s">
        <v>78</v>
      </c>
      <c r="H11" s="287">
        <f>(IF(H9=0,0,IF(H9&gt;0.74999,LOOKUP(ROUND(H9,0),'Vedlegg 1 - Rentekurve'!C10:C144,'Vedlegg 1 - Rentekurve'!D10:D144),IF(H9&gt;0.37499,'Vedlegg 1 - Rentekurve'!D9,'Vedlegg 1 - Rentekurve'!D8))))</f>
        <v>0</v>
      </c>
      <c r="I11" s="287">
        <f>(IF(I9=0,0,IF(I9&gt;0.74999,LOOKUP(ROUND(I9,0),'Vedlegg 1 - Rentekurve'!C10:C144,'Vedlegg 1 - Rentekurve'!D10:D144),IF(I9&gt;0.37499,'Vedlegg 1 - Rentekurve'!D9,'Vedlegg 1 - Rentekurve'!D8))))</f>
        <v>0</v>
      </c>
      <c r="J11" s="287">
        <f>(IF(J9=0,0,IF(J9&gt;0.74999,LOOKUP(ROUND(J9,0),'Vedlegg 1 - Rentekurve'!C10:C144,'Vedlegg 1 - Rentekurve'!D10:D144),IF(J9&gt;0.37499,'Vedlegg 1 - Rentekurve'!D9,'Vedlegg 1 - Rentekurve'!D8))))</f>
        <v>0</v>
      </c>
      <c r="K11" s="33"/>
      <c r="L11" s="33"/>
      <c r="M11" s="33"/>
      <c r="N11" s="33"/>
      <c r="O11" s="37"/>
      <c r="P11" s="286"/>
      <c r="Q11" s="38"/>
    </row>
    <row r="12" spans="1:17" ht="15" customHeight="1">
      <c r="A12" s="32"/>
      <c r="B12" s="30"/>
      <c r="C12" s="33"/>
      <c r="D12" s="33"/>
      <c r="E12" s="33"/>
      <c r="F12" s="33"/>
      <c r="G12" s="259"/>
      <c r="H12" s="33"/>
      <c r="I12" s="33"/>
      <c r="J12" s="33"/>
      <c r="K12" s="33"/>
      <c r="L12" s="33"/>
      <c r="M12" s="33"/>
      <c r="N12" s="33"/>
      <c r="O12" s="37"/>
      <c r="P12" s="284"/>
      <c r="Q12" s="38"/>
    </row>
    <row r="13" spans="1:17" ht="15" customHeight="1">
      <c r="A13" s="32"/>
      <c r="B13" s="30" t="s">
        <v>79</v>
      </c>
      <c r="C13" s="33" t="s">
        <v>80</v>
      </c>
      <c r="D13" s="33"/>
      <c r="E13" s="33"/>
      <c r="F13" s="33"/>
      <c r="G13" s="259" t="s">
        <v>81</v>
      </c>
      <c r="H13" s="287">
        <f>(H11-H10)*100</f>
        <v>0</v>
      </c>
      <c r="I13" s="287">
        <f>(I11-I10)*100</f>
        <v>0</v>
      </c>
      <c r="J13" s="287">
        <f>(J11-J10)*100</f>
        <v>0</v>
      </c>
      <c r="K13" s="33"/>
      <c r="L13" s="33"/>
      <c r="M13" s="33"/>
      <c r="N13" s="33"/>
      <c r="O13" s="37"/>
      <c r="P13" s="284"/>
      <c r="Q13" s="38"/>
    </row>
    <row r="14" spans="1:17" ht="15" customHeight="1">
      <c r="A14" s="32"/>
      <c r="B14" s="30"/>
      <c r="C14" s="33"/>
      <c r="D14" s="33"/>
      <c r="E14" s="33"/>
      <c r="F14" s="33"/>
      <c r="G14" s="259"/>
      <c r="H14" s="33"/>
      <c r="I14" s="33"/>
      <c r="J14" s="33"/>
      <c r="K14" s="33"/>
      <c r="L14" s="33"/>
      <c r="M14" s="33"/>
      <c r="N14" s="33"/>
      <c r="O14" s="37"/>
      <c r="P14" s="284"/>
      <c r="Q14" s="38"/>
    </row>
    <row r="15" spans="1:17" ht="12.75" customHeight="1">
      <c r="A15" s="32"/>
      <c r="B15" s="30"/>
      <c r="C15" s="33"/>
      <c r="D15" s="33"/>
      <c r="E15" s="33"/>
      <c r="F15" s="33"/>
      <c r="G15" s="259"/>
      <c r="H15" s="33"/>
      <c r="I15" s="33"/>
      <c r="J15" s="33"/>
      <c r="K15" s="33"/>
      <c r="L15" s="33"/>
      <c r="M15" s="33"/>
      <c r="N15" s="33"/>
      <c r="O15" s="37"/>
      <c r="P15" s="38"/>
      <c r="Q15" s="38"/>
    </row>
    <row r="16" spans="1:17" s="62" customFormat="1" ht="15.9" customHeight="1">
      <c r="A16" s="252"/>
      <c r="B16" s="61" t="s">
        <v>82</v>
      </c>
      <c r="C16" s="430" t="s">
        <v>83</v>
      </c>
      <c r="D16" s="430"/>
      <c r="E16" s="430"/>
      <c r="F16" s="255"/>
      <c r="G16" s="254" t="s">
        <v>84</v>
      </c>
      <c r="H16" s="262">
        <f>H7*POWER(1+H10,H9)/POWER(1+H11,H9)</f>
        <v>0</v>
      </c>
      <c r="I16" s="262">
        <f>I7*POWER(1+I10,I9)/POWER(1+I11,I9)</f>
        <v>0</v>
      </c>
      <c r="J16" s="262">
        <f>J7*POWER(1+J10,J9)/POWER(1+J11,J9)</f>
        <v>0</v>
      </c>
      <c r="K16" s="33"/>
      <c r="L16" s="33"/>
      <c r="M16" s="274">
        <f>SUM(H16:J16)</f>
        <v>0</v>
      </c>
      <c r="N16" s="33"/>
      <c r="O16" s="288"/>
      <c r="P16" s="289"/>
      <c r="Q16" s="289"/>
    </row>
    <row r="17" spans="1:21" ht="12.75" customHeight="1">
      <c r="A17" s="32"/>
      <c r="B17" s="30"/>
      <c r="C17" s="33"/>
      <c r="D17" s="33"/>
      <c r="E17" s="33"/>
      <c r="F17" s="33"/>
      <c r="G17" s="259"/>
      <c r="H17" s="264"/>
      <c r="I17" s="264"/>
      <c r="J17" s="264"/>
      <c r="K17" s="33"/>
      <c r="L17" s="33"/>
      <c r="M17" s="33"/>
      <c r="N17" s="33"/>
      <c r="O17" s="37"/>
      <c r="P17" s="38"/>
      <c r="Q17" s="38"/>
      <c r="R17" s="38"/>
      <c r="S17" s="38"/>
      <c r="T17" s="38"/>
      <c r="U17" s="38"/>
    </row>
    <row r="18" spans="1:21" ht="15" customHeight="1">
      <c r="A18" s="32"/>
      <c r="B18" s="30" t="s">
        <v>85</v>
      </c>
      <c r="C18" s="33" t="s">
        <v>86</v>
      </c>
      <c r="D18" s="33"/>
      <c r="E18" s="33"/>
      <c r="F18" s="33"/>
      <c r="G18" s="259" t="s">
        <v>87</v>
      </c>
      <c r="H18" s="274">
        <f>MAXA(H7-H16,0)</f>
        <v>0</v>
      </c>
      <c r="I18" s="274">
        <f>MAXA(I7-I16,0)</f>
        <v>0</v>
      </c>
      <c r="J18" s="274">
        <f>(0.8*(MAXA(J7-J16,0)))</f>
        <v>0</v>
      </c>
      <c r="K18" s="33"/>
      <c r="L18" s="33"/>
      <c r="M18" s="274">
        <f>SUM(H18:J18)</f>
        <v>0</v>
      </c>
      <c r="N18" s="33"/>
      <c r="O18" s="37"/>
      <c r="P18" s="38"/>
      <c r="Q18" s="38"/>
      <c r="R18" s="38"/>
      <c r="S18" s="38"/>
      <c r="T18" s="38"/>
      <c r="U18" s="38"/>
    </row>
    <row r="19" spans="1:21" s="63" customFormat="1" ht="15" customHeight="1">
      <c r="A19" s="32"/>
      <c r="B19" s="30"/>
      <c r="C19" s="33"/>
      <c r="D19" s="33"/>
      <c r="E19" s="33"/>
      <c r="F19" s="33"/>
      <c r="G19" s="259"/>
      <c r="H19" s="263"/>
      <c r="I19" s="263"/>
      <c r="J19" s="263"/>
      <c r="K19" s="33"/>
      <c r="L19" s="33"/>
      <c r="M19" s="33"/>
      <c r="N19" s="33"/>
      <c r="O19" s="37"/>
      <c r="P19" s="290"/>
      <c r="Q19" s="290"/>
      <c r="R19" s="290"/>
      <c r="S19" s="290"/>
      <c r="T19" s="290"/>
      <c r="U19" s="290"/>
    </row>
    <row r="20" spans="1:21" ht="15" customHeight="1">
      <c r="A20" s="32"/>
      <c r="B20" s="30" t="s">
        <v>88</v>
      </c>
      <c r="C20" s="33" t="s">
        <v>89</v>
      </c>
      <c r="D20" s="33"/>
      <c r="E20" s="33"/>
      <c r="F20" s="33"/>
      <c r="G20" s="259" t="s">
        <v>90</v>
      </c>
      <c r="H20" s="274">
        <f>(0.9*(MAXA(H16-H7,0)))</f>
        <v>0</v>
      </c>
      <c r="I20" s="274">
        <f>(0.5*(MAXA(I16-I7,0)))</f>
        <v>0</v>
      </c>
      <c r="J20" s="263"/>
      <c r="K20" s="33"/>
      <c r="L20" s="33"/>
      <c r="M20" s="274">
        <f>SUM(H20:I20)</f>
        <v>0</v>
      </c>
      <c r="N20" s="33"/>
      <c r="O20" s="37"/>
      <c r="P20" s="38"/>
      <c r="Q20" s="38"/>
      <c r="R20" s="38"/>
      <c r="S20" s="38"/>
      <c r="T20" s="38"/>
      <c r="U20" s="38"/>
    </row>
    <row r="21" spans="1:21" ht="12.75" customHeight="1">
      <c r="A21" s="32"/>
      <c r="B21" s="30"/>
      <c r="C21" s="33"/>
      <c r="D21" s="33"/>
      <c r="E21" s="33"/>
      <c r="F21" s="33"/>
      <c r="G21" s="259"/>
      <c r="H21" s="264"/>
      <c r="I21" s="264"/>
      <c r="J21" s="264"/>
      <c r="K21" s="33"/>
      <c r="L21" s="33"/>
      <c r="M21" s="33"/>
      <c r="N21" s="33"/>
      <c r="O21" s="37"/>
      <c r="P21" s="38"/>
      <c r="Q21" s="38"/>
      <c r="R21" s="38"/>
      <c r="S21" s="38"/>
      <c r="T21" s="38"/>
      <c r="U21" s="38"/>
    </row>
    <row r="22" spans="1:21" ht="38.25" customHeight="1">
      <c r="A22" s="32"/>
      <c r="B22" s="60" t="s">
        <v>91</v>
      </c>
      <c r="C22" s="431" t="s">
        <v>663</v>
      </c>
      <c r="D22" s="431"/>
      <c r="E22" s="431"/>
      <c r="F22" s="30"/>
      <c r="G22" s="65" t="s">
        <v>92</v>
      </c>
      <c r="H22" s="66">
        <f>H16+H18-H20</f>
        <v>0</v>
      </c>
      <c r="I22" s="66">
        <f>I16+I18-I20</f>
        <v>0</v>
      </c>
      <c r="J22" s="66">
        <f>J16+J18</f>
        <v>0</v>
      </c>
      <c r="K22" s="66">
        <f>K7</f>
        <v>0</v>
      </c>
      <c r="L22" s="66">
        <f>L7</f>
        <v>0</v>
      </c>
      <c r="M22" s="274">
        <f>SUM(H22:L22)</f>
        <v>0</v>
      </c>
      <c r="N22" s="33"/>
      <c r="O22" s="37"/>
      <c r="P22" s="38"/>
      <c r="Q22" s="38"/>
      <c r="R22" s="38"/>
      <c r="S22" s="38"/>
      <c r="T22" s="38"/>
      <c r="U22" s="38"/>
    </row>
    <row r="23" spans="1:21" ht="12.75" customHeight="1">
      <c r="A23" s="32"/>
      <c r="B23" s="30"/>
      <c r="C23" s="33"/>
      <c r="D23" s="33"/>
      <c r="E23" s="33"/>
      <c r="F23" s="33"/>
      <c r="G23" s="259"/>
      <c r="H23" s="259"/>
      <c r="I23" s="33"/>
      <c r="J23" s="33"/>
      <c r="K23" s="33"/>
      <c r="L23" s="33"/>
      <c r="M23" s="33"/>
      <c r="N23" s="33"/>
      <c r="O23" s="37"/>
      <c r="P23" s="38"/>
      <c r="Q23" s="38"/>
      <c r="R23" s="38"/>
      <c r="S23" s="38"/>
      <c r="T23" s="38"/>
      <c r="U23" s="38"/>
    </row>
    <row r="24" spans="1:21" ht="12.9" customHeight="1">
      <c r="A24" s="32"/>
      <c r="B24" s="67" t="s">
        <v>93</v>
      </c>
      <c r="C24" s="33"/>
      <c r="D24" s="33"/>
      <c r="E24" s="33"/>
      <c r="F24" s="33"/>
      <c r="G24" s="259"/>
      <c r="H24" s="259"/>
      <c r="I24" s="33"/>
      <c r="J24" s="33"/>
      <c r="K24" s="33"/>
      <c r="L24" s="33"/>
      <c r="M24" s="33"/>
      <c r="N24" s="33"/>
      <c r="O24" s="37"/>
      <c r="P24" s="38"/>
      <c r="Q24" s="38"/>
      <c r="R24" s="38"/>
      <c r="S24" s="38"/>
      <c r="T24" s="38"/>
      <c r="U24" s="38"/>
    </row>
    <row r="25" spans="1:21" ht="15.9" customHeight="1">
      <c r="A25" s="32"/>
      <c r="B25" s="33"/>
      <c r="C25" s="33"/>
      <c r="D25" s="33"/>
      <c r="E25" s="33"/>
      <c r="F25" s="33"/>
      <c r="G25" s="259"/>
      <c r="H25" s="246" t="s">
        <v>56</v>
      </c>
      <c r="I25" s="246" t="s">
        <v>57</v>
      </c>
      <c r="J25" s="246" t="s">
        <v>58</v>
      </c>
      <c r="K25" s="246" t="s">
        <v>59</v>
      </c>
      <c r="L25" s="246" t="s">
        <v>60</v>
      </c>
      <c r="M25" s="246" t="s">
        <v>61</v>
      </c>
      <c r="N25" s="33"/>
      <c r="O25" s="37"/>
      <c r="P25" s="38"/>
      <c r="Q25" s="38"/>
      <c r="R25" s="38"/>
      <c r="S25" s="38"/>
      <c r="T25" s="38"/>
      <c r="U25" s="38"/>
    </row>
    <row r="26" spans="1:21" ht="15.9" customHeight="1">
      <c r="A26" s="32"/>
      <c r="B26" s="30" t="s">
        <v>94</v>
      </c>
      <c r="C26" s="33" t="s">
        <v>95</v>
      </c>
      <c r="D26" s="33"/>
      <c r="E26" s="33"/>
      <c r="F26" s="33"/>
      <c r="G26" s="65" t="s">
        <v>92</v>
      </c>
      <c r="H26" s="274">
        <f>'Vedlegg2 - Alternativ beregning'!D340</f>
        <v>0</v>
      </c>
      <c r="I26" s="274">
        <f>'Vedlegg2 - Alternativ beregning'!E340</f>
        <v>0</v>
      </c>
      <c r="J26" s="274">
        <f>'Vedlegg2 - Alternativ beregning'!F340</f>
        <v>0</v>
      </c>
      <c r="K26" s="274">
        <f>K22</f>
        <v>0</v>
      </c>
      <c r="L26" s="274">
        <f>IF('Vedlegg2 - Alternativ beregning'!G69&gt;0,L22,0)</f>
        <v>0</v>
      </c>
      <c r="M26" s="274">
        <f>SUM(H26:L26)</f>
        <v>0</v>
      </c>
      <c r="N26" s="33"/>
      <c r="O26" s="37"/>
      <c r="P26" s="38"/>
      <c r="Q26" s="38"/>
      <c r="R26" s="38"/>
      <c r="S26" s="38"/>
      <c r="T26" s="38"/>
      <c r="U26" s="38"/>
    </row>
    <row r="27" spans="1:21" ht="12.75" customHeight="1">
      <c r="A27" s="32"/>
      <c r="B27" s="30"/>
      <c r="C27" s="33"/>
      <c r="D27" s="33"/>
      <c r="E27" s="33"/>
      <c r="F27" s="33"/>
      <c r="G27" s="33"/>
      <c r="H27" s="259"/>
      <c r="I27" s="33"/>
      <c r="J27" s="33"/>
      <c r="K27" s="33"/>
      <c r="L27" s="33"/>
      <c r="M27" s="33"/>
      <c r="N27" s="33"/>
      <c r="O27" s="37"/>
      <c r="P27" s="38"/>
      <c r="Q27" s="38"/>
      <c r="R27" s="38"/>
      <c r="S27" s="38"/>
      <c r="T27" s="38"/>
      <c r="U27" s="38"/>
    </row>
    <row r="28" spans="1:21" ht="12.75" customHeight="1">
      <c r="A28" s="32"/>
      <c r="B28" s="59" t="s">
        <v>96</v>
      </c>
      <c r="C28" s="33"/>
      <c r="D28" s="33"/>
      <c r="E28" s="33"/>
      <c r="F28" s="33"/>
      <c r="G28" s="33"/>
      <c r="H28" s="291"/>
      <c r="I28" s="264"/>
      <c r="J28" s="264"/>
      <c r="K28" s="33"/>
      <c r="L28" s="33"/>
      <c r="M28" s="33"/>
      <c r="N28" s="33"/>
      <c r="O28" s="37"/>
      <c r="P28" s="38"/>
      <c r="Q28" s="38"/>
      <c r="R28" s="38"/>
      <c r="S28" s="38"/>
      <c r="T28" s="38"/>
      <c r="U28" s="38"/>
    </row>
    <row r="29" spans="1:21" ht="12.75" customHeight="1">
      <c r="A29" s="32"/>
      <c r="B29" s="30"/>
      <c r="C29" s="33"/>
      <c r="D29" s="292"/>
      <c r="E29" s="292"/>
      <c r="F29" s="292"/>
      <c r="G29" s="292"/>
      <c r="H29" s="35" t="s">
        <v>97</v>
      </c>
      <c r="I29" s="35" t="s">
        <v>98</v>
      </c>
      <c r="J29" s="35" t="s">
        <v>99</v>
      </c>
      <c r="K29" s="264"/>
      <c r="L29" s="264"/>
      <c r="M29" s="33"/>
      <c r="N29" s="33"/>
      <c r="O29" s="37"/>
      <c r="P29" s="38"/>
      <c r="Q29" s="38"/>
      <c r="R29" s="38"/>
      <c r="S29" s="38"/>
      <c r="T29" s="38"/>
      <c r="U29" s="38"/>
    </row>
    <row r="30" spans="1:21" ht="12.75" customHeight="1">
      <c r="A30" s="32"/>
      <c r="B30" s="30" t="s">
        <v>100</v>
      </c>
      <c r="C30" s="33" t="s">
        <v>101</v>
      </c>
      <c r="D30" s="33"/>
      <c r="E30" s="33"/>
      <c r="F30" s="292"/>
      <c r="G30" s="292"/>
      <c r="H30" s="293">
        <v>0</v>
      </c>
      <c r="I30" s="68">
        <f>I31</f>
        <v>0.7</v>
      </c>
      <c r="J30" s="68">
        <f>J31</f>
        <v>-0.75</v>
      </c>
      <c r="K30" s="264"/>
      <c r="L30" s="264"/>
      <c r="M30" s="33"/>
      <c r="N30" s="33"/>
      <c r="O30" s="37"/>
      <c r="P30" s="38"/>
      <c r="Q30" s="38"/>
      <c r="R30" s="38"/>
      <c r="S30" s="38"/>
      <c r="T30" s="38"/>
      <c r="U30" s="38"/>
    </row>
    <row r="31" spans="1:21" ht="12.75" customHeight="1">
      <c r="A31" s="32"/>
      <c r="B31" s="30"/>
      <c r="C31" s="33"/>
      <c r="D31" s="33"/>
      <c r="E31" s="33"/>
      <c r="F31" s="292"/>
      <c r="G31" s="292"/>
      <c r="H31" s="35">
        <v>0.25</v>
      </c>
      <c r="I31" s="294">
        <v>0.7</v>
      </c>
      <c r="J31" s="294">
        <v>-0.75</v>
      </c>
      <c r="K31" s="264"/>
      <c r="L31" s="264"/>
      <c r="M31" s="33"/>
      <c r="N31" s="33"/>
      <c r="O31" s="37"/>
      <c r="P31" s="295"/>
      <c r="Q31" s="38"/>
      <c r="R31" s="38"/>
      <c r="S31" s="38"/>
      <c r="T31" s="38"/>
      <c r="U31" s="38"/>
    </row>
    <row r="32" spans="1:21" ht="12.9" customHeight="1">
      <c r="A32" s="32"/>
      <c r="B32" s="30"/>
      <c r="C32" s="33"/>
      <c r="D32" s="33"/>
      <c r="E32" s="33"/>
      <c r="F32" s="292"/>
      <c r="G32" s="292"/>
      <c r="H32" s="35">
        <v>0.5</v>
      </c>
      <c r="I32" s="294">
        <v>0.7</v>
      </c>
      <c r="J32" s="294">
        <v>-0.75</v>
      </c>
      <c r="K32" s="296"/>
      <c r="L32" s="296"/>
      <c r="M32" s="33"/>
      <c r="N32" s="33"/>
      <c r="O32" s="37"/>
      <c r="P32" s="69"/>
      <c r="Q32" s="69"/>
      <c r="R32" s="69"/>
      <c r="S32" s="69"/>
      <c r="T32" s="69"/>
      <c r="U32" s="69"/>
    </row>
    <row r="33" spans="1:17" ht="12.9" customHeight="1">
      <c r="A33" s="32"/>
      <c r="B33" s="30"/>
      <c r="C33" s="33"/>
      <c r="D33" s="33"/>
      <c r="E33" s="33"/>
      <c r="F33" s="292"/>
      <c r="G33" s="292"/>
      <c r="H33" s="35">
        <v>1</v>
      </c>
      <c r="I33" s="294">
        <v>0.7</v>
      </c>
      <c r="J33" s="294">
        <v>-0.75</v>
      </c>
      <c r="K33" s="296"/>
      <c r="L33" s="296"/>
      <c r="M33" s="33"/>
      <c r="N33" s="33"/>
      <c r="O33" s="37"/>
      <c r="P33" s="38"/>
      <c r="Q33" s="38"/>
    </row>
    <row r="34" spans="1:17" ht="12.9" customHeight="1">
      <c r="A34" s="32"/>
      <c r="B34" s="30"/>
      <c r="C34" s="33"/>
      <c r="D34" s="33"/>
      <c r="E34" s="33"/>
      <c r="F34" s="292"/>
      <c r="G34" s="292"/>
      <c r="H34" s="35">
        <v>2</v>
      </c>
      <c r="I34" s="294">
        <v>0.7</v>
      </c>
      <c r="J34" s="294">
        <v>-0.65</v>
      </c>
      <c r="K34" s="264"/>
      <c r="L34" s="264"/>
      <c r="M34" s="33"/>
      <c r="N34" s="33"/>
      <c r="O34" s="37"/>
      <c r="P34" s="38"/>
      <c r="Q34" s="38"/>
    </row>
    <row r="35" spans="1:17" ht="12.9" customHeight="1">
      <c r="A35" s="32"/>
      <c r="B35" s="30"/>
      <c r="C35" s="33"/>
      <c r="D35" s="33"/>
      <c r="E35" s="33"/>
      <c r="F35" s="292"/>
      <c r="G35" s="292"/>
      <c r="H35" s="35">
        <v>3</v>
      </c>
      <c r="I35" s="294">
        <v>0.64</v>
      </c>
      <c r="J35" s="294">
        <v>-0.56000000000000005</v>
      </c>
      <c r="K35" s="264"/>
      <c r="L35" s="264"/>
      <c r="M35" s="33"/>
      <c r="N35" s="33"/>
      <c r="O35" s="37"/>
      <c r="P35" s="38"/>
      <c r="Q35" s="38"/>
    </row>
    <row r="36" spans="1:17" ht="12.9" customHeight="1">
      <c r="A36" s="32"/>
      <c r="B36" s="30"/>
      <c r="C36" s="33"/>
      <c r="D36" s="33"/>
      <c r="E36" s="33"/>
      <c r="F36" s="292"/>
      <c r="G36" s="292"/>
      <c r="H36" s="35">
        <v>4</v>
      </c>
      <c r="I36" s="294">
        <v>0.59</v>
      </c>
      <c r="J36" s="294">
        <v>-0.5</v>
      </c>
      <c r="K36" s="264"/>
      <c r="L36" s="264"/>
      <c r="M36" s="33"/>
      <c r="N36" s="33"/>
      <c r="O36" s="37"/>
      <c r="P36" s="69"/>
      <c r="Q36" s="69"/>
    </row>
    <row r="37" spans="1:17" ht="12.9" customHeight="1">
      <c r="A37" s="32"/>
      <c r="B37" s="30"/>
      <c r="C37" s="33"/>
      <c r="D37" s="33"/>
      <c r="E37" s="33"/>
      <c r="F37" s="292"/>
      <c r="G37" s="292"/>
      <c r="H37" s="35">
        <v>5</v>
      </c>
      <c r="I37" s="294">
        <v>0.55000000000000004</v>
      </c>
      <c r="J37" s="294">
        <v>-0.46</v>
      </c>
      <c r="K37" s="264"/>
      <c r="L37" s="264"/>
      <c r="M37" s="33"/>
      <c r="N37" s="33"/>
      <c r="O37" s="37"/>
      <c r="P37" s="38"/>
      <c r="Q37" s="38"/>
    </row>
    <row r="38" spans="1:17" ht="12.9" customHeight="1">
      <c r="A38" s="32"/>
      <c r="B38" s="30"/>
      <c r="C38" s="33"/>
      <c r="D38" s="33"/>
      <c r="E38" s="33"/>
      <c r="F38" s="292"/>
      <c r="G38" s="292"/>
      <c r="H38" s="35">
        <v>6</v>
      </c>
      <c r="I38" s="294">
        <v>0.52</v>
      </c>
      <c r="J38" s="294">
        <v>-0.42</v>
      </c>
      <c r="K38" s="264"/>
      <c r="L38" s="264"/>
      <c r="M38" s="33"/>
      <c r="N38" s="33"/>
      <c r="O38" s="37"/>
      <c r="P38" s="38"/>
      <c r="Q38" s="38"/>
    </row>
    <row r="39" spans="1:17" ht="12.9" customHeight="1">
      <c r="A39" s="32"/>
      <c r="B39" s="30"/>
      <c r="C39" s="33"/>
      <c r="D39" s="33"/>
      <c r="E39" s="33"/>
      <c r="F39" s="292"/>
      <c r="G39" s="292"/>
      <c r="H39" s="35">
        <v>7</v>
      </c>
      <c r="I39" s="294">
        <v>0.49</v>
      </c>
      <c r="J39" s="294">
        <v>-0.39</v>
      </c>
      <c r="K39" s="264"/>
      <c r="L39" s="264"/>
      <c r="M39" s="33"/>
      <c r="N39" s="33"/>
      <c r="O39" s="37"/>
      <c r="P39" s="38"/>
      <c r="Q39" s="38"/>
    </row>
    <row r="40" spans="1:17" ht="12.9" customHeight="1">
      <c r="A40" s="32"/>
      <c r="B40" s="30"/>
      <c r="C40" s="33"/>
      <c r="D40" s="33"/>
      <c r="E40" s="33"/>
      <c r="F40" s="292"/>
      <c r="G40" s="292"/>
      <c r="H40" s="35">
        <v>8</v>
      </c>
      <c r="I40" s="294">
        <v>0.47</v>
      </c>
      <c r="J40" s="294">
        <v>-0.36</v>
      </c>
      <c r="K40" s="264"/>
      <c r="L40" s="264"/>
      <c r="M40" s="33"/>
      <c r="N40" s="33"/>
      <c r="O40" s="37"/>
      <c r="P40" s="38"/>
      <c r="Q40" s="38"/>
    </row>
    <row r="41" spans="1:17" ht="12.9" customHeight="1">
      <c r="A41" s="32"/>
      <c r="B41" s="30"/>
      <c r="C41" s="33"/>
      <c r="D41" s="33"/>
      <c r="E41" s="33"/>
      <c r="F41" s="292"/>
      <c r="G41" s="292"/>
      <c r="H41" s="35">
        <v>9</v>
      </c>
      <c r="I41" s="294">
        <v>0.44</v>
      </c>
      <c r="J41" s="294">
        <v>-0.33</v>
      </c>
      <c r="K41" s="264"/>
      <c r="L41" s="264"/>
      <c r="M41" s="33"/>
      <c r="N41" s="33"/>
      <c r="O41" s="37"/>
      <c r="P41" s="38"/>
      <c r="Q41" s="38"/>
    </row>
    <row r="42" spans="1:17" ht="12.9" customHeight="1">
      <c r="A42" s="32"/>
      <c r="B42" s="30"/>
      <c r="C42" s="33"/>
      <c r="D42" s="33"/>
      <c r="E42" s="33"/>
      <c r="F42" s="292"/>
      <c r="G42" s="292"/>
      <c r="H42" s="35">
        <v>10</v>
      </c>
      <c r="I42" s="294">
        <v>0.42</v>
      </c>
      <c r="J42" s="294">
        <v>-0.31</v>
      </c>
      <c r="K42" s="264"/>
      <c r="L42" s="264"/>
      <c r="M42" s="33"/>
      <c r="N42" s="33"/>
      <c r="O42" s="37"/>
      <c r="P42" s="38"/>
      <c r="Q42" s="38"/>
    </row>
    <row r="43" spans="1:17" ht="12.9" customHeight="1">
      <c r="A43" s="32"/>
      <c r="B43" s="30"/>
      <c r="C43" s="33"/>
      <c r="D43" s="33"/>
      <c r="E43" s="33"/>
      <c r="F43" s="292"/>
      <c r="G43" s="292"/>
      <c r="H43" s="35">
        <v>11</v>
      </c>
      <c r="I43" s="294">
        <v>0.39</v>
      </c>
      <c r="J43" s="294">
        <v>-0.3</v>
      </c>
      <c r="K43" s="264"/>
      <c r="L43" s="264"/>
      <c r="M43" s="33"/>
      <c r="N43" s="33"/>
      <c r="O43" s="37"/>
      <c r="P43" s="38"/>
      <c r="Q43" s="38"/>
    </row>
    <row r="44" spans="1:17" ht="12.9" customHeight="1">
      <c r="A44" s="32"/>
      <c r="B44" s="30"/>
      <c r="C44" s="33"/>
      <c r="D44" s="33"/>
      <c r="E44" s="33"/>
      <c r="F44" s="292"/>
      <c r="G44" s="292"/>
      <c r="H44" s="35">
        <v>12</v>
      </c>
      <c r="I44" s="294">
        <v>0.37</v>
      </c>
      <c r="J44" s="294">
        <v>-0.28999999999999998</v>
      </c>
      <c r="K44" s="264"/>
      <c r="L44" s="264"/>
      <c r="M44" s="33"/>
      <c r="N44" s="33"/>
      <c r="O44" s="37"/>
      <c r="P44" s="38"/>
      <c r="Q44" s="38"/>
    </row>
    <row r="45" spans="1:17" ht="12.9" customHeight="1">
      <c r="A45" s="32"/>
      <c r="B45" s="30"/>
      <c r="C45" s="33"/>
      <c r="D45" s="33"/>
      <c r="E45" s="33"/>
      <c r="F45" s="292"/>
      <c r="G45" s="292"/>
      <c r="H45" s="35">
        <v>13</v>
      </c>
      <c r="I45" s="294">
        <v>0.35</v>
      </c>
      <c r="J45" s="294">
        <v>-0.28000000000000003</v>
      </c>
      <c r="K45" s="264"/>
      <c r="L45" s="264"/>
      <c r="M45" s="33"/>
      <c r="N45" s="33"/>
      <c r="O45" s="37"/>
      <c r="P45" s="38"/>
      <c r="Q45" s="38"/>
    </row>
    <row r="46" spans="1:17" ht="12.9" customHeight="1">
      <c r="A46" s="32"/>
      <c r="B46" s="30"/>
      <c r="C46" s="33"/>
      <c r="D46" s="33"/>
      <c r="E46" s="33"/>
      <c r="F46" s="292"/>
      <c r="G46" s="292"/>
      <c r="H46" s="35">
        <v>14</v>
      </c>
      <c r="I46" s="294">
        <v>0.34</v>
      </c>
      <c r="J46" s="294">
        <v>-0.28000000000000003</v>
      </c>
      <c r="K46" s="264"/>
      <c r="L46" s="264"/>
      <c r="M46" s="33"/>
      <c r="N46" s="33"/>
      <c r="O46" s="37"/>
      <c r="P46" s="38"/>
      <c r="Q46" s="38"/>
    </row>
    <row r="47" spans="1:17" ht="12.9" customHeight="1">
      <c r="A47" s="32"/>
      <c r="B47" s="30"/>
      <c r="C47" s="33"/>
      <c r="D47" s="33"/>
      <c r="E47" s="33"/>
      <c r="F47" s="292"/>
      <c r="G47" s="292"/>
      <c r="H47" s="35">
        <v>15</v>
      </c>
      <c r="I47" s="294">
        <v>0.33</v>
      </c>
      <c r="J47" s="294">
        <v>-0.27</v>
      </c>
      <c r="K47" s="264"/>
      <c r="L47" s="264"/>
      <c r="M47" s="33"/>
      <c r="N47" s="33"/>
      <c r="O47" s="37"/>
      <c r="P47" s="38"/>
      <c r="Q47" s="38"/>
    </row>
    <row r="48" spans="1:17" ht="12.9" customHeight="1">
      <c r="A48" s="32"/>
      <c r="B48" s="30"/>
      <c r="C48" s="33"/>
      <c r="D48" s="33"/>
      <c r="E48" s="33"/>
      <c r="F48" s="292"/>
      <c r="G48" s="292"/>
      <c r="H48" s="35">
        <v>16</v>
      </c>
      <c r="I48" s="294">
        <v>0.31</v>
      </c>
      <c r="J48" s="294">
        <v>-0.28000000000000003</v>
      </c>
      <c r="K48" s="264"/>
      <c r="L48" s="264"/>
      <c r="M48" s="33"/>
      <c r="N48" s="33"/>
      <c r="O48" s="37"/>
      <c r="P48" s="38"/>
      <c r="Q48" s="38"/>
    </row>
    <row r="49" spans="1:15" ht="12.9" customHeight="1">
      <c r="A49" s="32"/>
      <c r="B49" s="30"/>
      <c r="C49" s="33"/>
      <c r="D49" s="33"/>
      <c r="E49" s="33"/>
      <c r="F49" s="292"/>
      <c r="G49" s="292"/>
      <c r="H49" s="35">
        <v>17</v>
      </c>
      <c r="I49" s="294">
        <v>0.3</v>
      </c>
      <c r="J49" s="294">
        <v>-0.28000000000000003</v>
      </c>
      <c r="K49" s="264"/>
      <c r="L49" s="264"/>
      <c r="M49" s="33"/>
      <c r="N49" s="33"/>
      <c r="O49" s="37"/>
    </row>
    <row r="50" spans="1:15" ht="12.9" customHeight="1">
      <c r="A50" s="32"/>
      <c r="B50" s="30"/>
      <c r="C50" s="33"/>
      <c r="D50" s="33"/>
      <c r="E50" s="33"/>
      <c r="F50" s="292"/>
      <c r="G50" s="292"/>
      <c r="H50" s="35">
        <v>18</v>
      </c>
      <c r="I50" s="294">
        <v>0.28999999999999998</v>
      </c>
      <c r="J50" s="294">
        <v>-0.28000000000000003</v>
      </c>
      <c r="K50" s="264"/>
      <c r="L50" s="264"/>
      <c r="M50" s="33"/>
      <c r="N50" s="33"/>
      <c r="O50" s="37"/>
    </row>
    <row r="51" spans="1:15" ht="12.9" customHeight="1">
      <c r="A51" s="32"/>
      <c r="B51" s="30"/>
      <c r="C51" s="33"/>
      <c r="D51" s="33"/>
      <c r="E51" s="33"/>
      <c r="F51" s="292"/>
      <c r="G51" s="292"/>
      <c r="H51" s="35">
        <v>19</v>
      </c>
      <c r="I51" s="294">
        <v>0.27</v>
      </c>
      <c r="J51" s="294">
        <v>-0.28999999999999998</v>
      </c>
      <c r="K51" s="264"/>
      <c r="L51" s="264"/>
      <c r="M51" s="33"/>
      <c r="N51" s="33"/>
      <c r="O51" s="37"/>
    </row>
    <row r="52" spans="1:15" ht="12.9" customHeight="1">
      <c r="A52" s="32"/>
      <c r="B52" s="30"/>
      <c r="C52" s="33"/>
      <c r="D52" s="33"/>
      <c r="E52" s="33"/>
      <c r="F52" s="292"/>
      <c r="G52" s="292"/>
      <c r="H52" s="35">
        <v>20</v>
      </c>
      <c r="I52" s="294">
        <v>0.26</v>
      </c>
      <c r="J52" s="294">
        <v>-0.28999999999999998</v>
      </c>
      <c r="K52" s="264"/>
      <c r="L52" s="264"/>
      <c r="M52" s="33"/>
      <c r="N52" s="33"/>
      <c r="O52" s="37"/>
    </row>
    <row r="53" spans="1:15" ht="12.75" customHeight="1">
      <c r="A53" s="32"/>
      <c r="B53" s="30"/>
      <c r="C53" s="33"/>
      <c r="D53" s="33"/>
      <c r="E53" s="33"/>
      <c r="F53" s="292"/>
      <c r="G53" s="292"/>
      <c r="H53" s="35">
        <v>21</v>
      </c>
      <c r="I53" s="294">
        <v>0.26</v>
      </c>
      <c r="J53" s="294">
        <v>-0.28999999999999998</v>
      </c>
      <c r="K53" s="264"/>
      <c r="L53" s="264"/>
      <c r="M53" s="33"/>
      <c r="N53" s="33"/>
      <c r="O53" s="37"/>
    </row>
    <row r="54" spans="1:15" ht="12.75" customHeight="1">
      <c r="A54" s="32"/>
      <c r="B54" s="30"/>
      <c r="C54" s="33"/>
      <c r="D54" s="33"/>
      <c r="E54" s="33"/>
      <c r="F54" s="292"/>
      <c r="G54" s="292"/>
      <c r="H54" s="35">
        <v>22</v>
      </c>
      <c r="I54" s="294">
        <v>0.26</v>
      </c>
      <c r="J54" s="294">
        <v>-0.28999999999999998</v>
      </c>
      <c r="K54" s="264"/>
      <c r="L54" s="264"/>
      <c r="M54" s="33"/>
      <c r="N54" s="33"/>
      <c r="O54" s="37"/>
    </row>
    <row r="55" spans="1:15" ht="12.9" customHeight="1">
      <c r="A55" s="32"/>
      <c r="B55" s="30"/>
      <c r="C55" s="33"/>
      <c r="D55" s="33"/>
      <c r="E55" s="33"/>
      <c r="F55" s="292"/>
      <c r="G55" s="292"/>
      <c r="H55" s="35">
        <v>23</v>
      </c>
      <c r="I55" s="294">
        <v>0.26</v>
      </c>
      <c r="J55" s="294">
        <v>-0.28999999999999998</v>
      </c>
      <c r="K55" s="264"/>
      <c r="L55" s="264"/>
      <c r="M55" s="33"/>
      <c r="N55" s="33"/>
      <c r="O55" s="37"/>
    </row>
    <row r="56" spans="1:15" ht="12.9" customHeight="1">
      <c r="A56" s="32"/>
      <c r="B56" s="30"/>
      <c r="C56" s="33"/>
      <c r="D56" s="33"/>
      <c r="E56" s="33"/>
      <c r="F56" s="292"/>
      <c r="G56" s="292"/>
      <c r="H56" s="35">
        <v>24</v>
      </c>
      <c r="I56" s="294">
        <v>0.26</v>
      </c>
      <c r="J56" s="294">
        <v>-0.28000000000000003</v>
      </c>
      <c r="K56" s="264"/>
      <c r="L56" s="264"/>
      <c r="M56" s="33"/>
      <c r="N56" s="33"/>
      <c r="O56" s="37"/>
    </row>
    <row r="57" spans="1:15" ht="12.9" customHeight="1">
      <c r="A57" s="32"/>
      <c r="B57" s="30"/>
      <c r="C57" s="33"/>
      <c r="D57" s="33"/>
      <c r="E57" s="33"/>
      <c r="F57" s="292"/>
      <c r="G57" s="292"/>
      <c r="H57" s="35">
        <v>25</v>
      </c>
      <c r="I57" s="294">
        <v>0.26</v>
      </c>
      <c r="J57" s="294">
        <v>-0.28000000000000003</v>
      </c>
      <c r="K57" s="264"/>
      <c r="L57" s="264"/>
      <c r="M57" s="33"/>
      <c r="N57" s="33"/>
      <c r="O57" s="37"/>
    </row>
    <row r="58" spans="1:15" ht="12.9" customHeight="1">
      <c r="A58" s="32"/>
      <c r="B58" s="30"/>
      <c r="C58" s="33"/>
      <c r="D58" s="33"/>
      <c r="E58" s="33"/>
      <c r="F58" s="292"/>
      <c r="G58" s="292"/>
      <c r="H58" s="35">
        <v>26</v>
      </c>
      <c r="I58" s="294">
        <v>0.25</v>
      </c>
      <c r="J58" s="294">
        <v>-0.28000000000000003</v>
      </c>
      <c r="K58" s="264"/>
      <c r="L58" s="264"/>
      <c r="M58" s="33"/>
      <c r="N58" s="33"/>
      <c r="O58" s="37"/>
    </row>
    <row r="59" spans="1:15" ht="12.9" customHeight="1">
      <c r="A59" s="32"/>
      <c r="B59" s="30"/>
      <c r="C59" s="33"/>
      <c r="D59" s="33"/>
      <c r="E59" s="33"/>
      <c r="F59" s="292"/>
      <c r="G59" s="292"/>
      <c r="H59" s="35">
        <v>27</v>
      </c>
      <c r="I59" s="294">
        <v>0.25</v>
      </c>
      <c r="J59" s="294">
        <v>-0.28000000000000003</v>
      </c>
      <c r="K59" s="264"/>
      <c r="L59" s="264"/>
      <c r="M59" s="33"/>
      <c r="N59" s="33"/>
      <c r="O59" s="37"/>
    </row>
    <row r="60" spans="1:15" ht="12.9" customHeight="1">
      <c r="A60" s="32"/>
      <c r="B60" s="30"/>
      <c r="C60" s="33"/>
      <c r="D60" s="33"/>
      <c r="E60" s="33"/>
      <c r="F60" s="292"/>
      <c r="G60" s="292"/>
      <c r="H60" s="35">
        <v>28</v>
      </c>
      <c r="I60" s="294">
        <v>0.25</v>
      </c>
      <c r="J60" s="294">
        <v>-0.28000000000000003</v>
      </c>
      <c r="K60" s="264"/>
      <c r="L60" s="264"/>
      <c r="M60" s="33"/>
      <c r="N60" s="33"/>
      <c r="O60" s="37"/>
    </row>
    <row r="61" spans="1:15" ht="12.9" customHeight="1">
      <c r="A61" s="32"/>
      <c r="B61" s="30"/>
      <c r="C61" s="33"/>
      <c r="D61" s="33"/>
      <c r="E61" s="33"/>
      <c r="F61" s="292"/>
      <c r="G61" s="292"/>
      <c r="H61" s="35">
        <v>29</v>
      </c>
      <c r="I61" s="294">
        <v>0.25</v>
      </c>
      <c r="J61" s="294">
        <v>-0.28000000000000003</v>
      </c>
      <c r="K61" s="264"/>
      <c r="L61" s="264"/>
      <c r="M61" s="33"/>
      <c r="N61" s="33"/>
      <c r="O61" s="37"/>
    </row>
    <row r="62" spans="1:15" ht="12.9" customHeight="1">
      <c r="A62" s="32"/>
      <c r="B62" s="30"/>
      <c r="C62" s="33"/>
      <c r="D62" s="33"/>
      <c r="E62" s="33"/>
      <c r="F62" s="292"/>
      <c r="G62" s="292"/>
      <c r="H62" s="35">
        <v>30</v>
      </c>
      <c r="I62" s="294">
        <v>0.25</v>
      </c>
      <c r="J62" s="294">
        <v>-0.28000000000000003</v>
      </c>
      <c r="K62" s="264"/>
      <c r="L62" s="264"/>
      <c r="M62" s="33"/>
      <c r="N62" s="33"/>
      <c r="O62" s="37"/>
    </row>
    <row r="63" spans="1:15" ht="12.9" customHeight="1">
      <c r="A63" s="32"/>
      <c r="B63" s="30"/>
      <c r="C63" s="33"/>
      <c r="D63" s="33"/>
      <c r="E63" s="33"/>
      <c r="F63" s="292"/>
      <c r="G63" s="292"/>
      <c r="H63" s="33"/>
      <c r="I63" s="292"/>
      <c r="J63" s="292"/>
      <c r="K63" s="264"/>
      <c r="L63" s="264"/>
      <c r="M63" s="33"/>
      <c r="N63" s="33"/>
      <c r="O63" s="37"/>
    </row>
    <row r="64" spans="1:15" ht="17.149999999999999" customHeight="1">
      <c r="A64" s="32"/>
      <c r="B64" s="30"/>
      <c r="C64" s="33"/>
      <c r="D64" s="33"/>
      <c r="E64" s="33"/>
      <c r="F64" s="33"/>
      <c r="G64" s="33"/>
      <c r="H64" s="246" t="s">
        <v>56</v>
      </c>
      <c r="I64" s="246" t="s">
        <v>57</v>
      </c>
      <c r="J64" s="246" t="s">
        <v>58</v>
      </c>
      <c r="K64" s="264"/>
      <c r="L64" s="264"/>
      <c r="M64" s="33"/>
      <c r="N64" s="33"/>
      <c r="O64" s="37"/>
    </row>
    <row r="65" spans="1:17" ht="12.9" customHeight="1">
      <c r="A65" s="32"/>
      <c r="B65" s="30" t="s">
        <v>102</v>
      </c>
      <c r="C65" s="33" t="s">
        <v>103</v>
      </c>
      <c r="D65" s="28"/>
      <c r="E65" s="33"/>
      <c r="F65" s="33"/>
      <c r="G65" s="33"/>
      <c r="H65" s="287">
        <f>LOOKUP(IF(ROUND(H9,0)&gt;30,30,ROUND(H9,0)),$H$30:$H$62,$I$30:$I$62)</f>
        <v>0.7</v>
      </c>
      <c r="I65" s="287">
        <f>LOOKUP(IF(ROUND(I9,0)&gt;30,30,ROUND(I9,0)),$H$30:$H$62,$I$30:$I$62)</f>
        <v>0.7</v>
      </c>
      <c r="J65" s="287">
        <f>LOOKUP(IF(ROUND(J9,0)&gt;30,30,ROUND(J9,0)),$H$30:$H$62,$I$30:$I$62)</f>
        <v>0.7</v>
      </c>
      <c r="K65" s="33"/>
      <c r="L65" s="33"/>
      <c r="M65" s="33"/>
      <c r="N65" s="33"/>
      <c r="O65" s="37"/>
      <c r="P65" s="38"/>
      <c r="Q65" s="38"/>
    </row>
    <row r="66" spans="1:17" ht="12.9" customHeight="1">
      <c r="A66" s="32"/>
      <c r="B66" s="30" t="s">
        <v>104</v>
      </c>
      <c r="C66" s="33" t="s">
        <v>105</v>
      </c>
      <c r="D66" s="28"/>
      <c r="E66" s="33"/>
      <c r="F66" s="33"/>
      <c r="G66" s="33"/>
      <c r="H66" s="287">
        <f>LOOKUP(IF(ROUND(H9,0)&gt;30,30,ROUND(H9,0)),$H$30:$H$62,$J$30:$J$62)</f>
        <v>-0.75</v>
      </c>
      <c r="I66" s="287">
        <f>LOOKUP(IF(ROUND(I9,0)&gt;30,30,ROUND(I9,0)),$H$30:$H$62,$J$30:$J$62)</f>
        <v>-0.75</v>
      </c>
      <c r="J66" s="287">
        <f>LOOKUP(IF(ROUND(J9,0)&gt;30,30,ROUND(J9,0)),$H$30:$H$62,$J$30:$J$62)</f>
        <v>-0.75</v>
      </c>
      <c r="K66" s="33"/>
      <c r="L66" s="33"/>
      <c r="M66" s="33"/>
      <c r="N66" s="33"/>
      <c r="O66" s="37"/>
      <c r="P66" s="38"/>
      <c r="Q66" s="38"/>
    </row>
    <row r="67" spans="1:17" ht="12.75" customHeight="1">
      <c r="A67" s="32"/>
      <c r="B67" s="30"/>
      <c r="C67" s="33"/>
      <c r="D67" s="28"/>
      <c r="E67" s="33"/>
      <c r="F67" s="33"/>
      <c r="G67" s="33"/>
      <c r="H67" s="297"/>
      <c r="I67" s="297"/>
      <c r="J67" s="297"/>
      <c r="K67" s="33"/>
      <c r="L67" s="33"/>
      <c r="M67" s="33"/>
      <c r="N67" s="33"/>
      <c r="O67" s="37"/>
      <c r="P67" s="38"/>
      <c r="Q67" s="38"/>
    </row>
    <row r="68" spans="1:17" ht="15" customHeight="1">
      <c r="A68" s="32"/>
      <c r="B68" s="30" t="s">
        <v>106</v>
      </c>
      <c r="C68" s="33" t="s">
        <v>107</v>
      </c>
      <c r="D68" s="28"/>
      <c r="E68" s="33"/>
      <c r="F68" s="33"/>
      <c r="G68" s="33" t="s">
        <v>108</v>
      </c>
      <c r="H68" s="298">
        <f>H11*H65*100</f>
        <v>0</v>
      </c>
      <c r="I68" s="298">
        <f>I11*I65*100</f>
        <v>0</v>
      </c>
      <c r="J68" s="298">
        <f>J11*J65*100</f>
        <v>0</v>
      </c>
      <c r="K68" s="33"/>
      <c r="L68" s="33"/>
      <c r="M68" s="33"/>
      <c r="N68" s="33"/>
      <c r="O68" s="37"/>
      <c r="P68" s="38"/>
      <c r="Q68" s="38"/>
    </row>
    <row r="69" spans="1:17" ht="15" customHeight="1">
      <c r="A69" s="32"/>
      <c r="B69" s="30" t="s">
        <v>109</v>
      </c>
      <c r="C69" s="33" t="s">
        <v>110</v>
      </c>
      <c r="D69" s="28"/>
      <c r="E69" s="33"/>
      <c r="F69" s="33"/>
      <c r="G69" s="33" t="s">
        <v>111</v>
      </c>
      <c r="H69" s="298">
        <f>H11*H66*100</f>
        <v>0</v>
      </c>
      <c r="I69" s="298">
        <f>I11*I66*100</f>
        <v>0</v>
      </c>
      <c r="J69" s="298">
        <f>J11*J66*100</f>
        <v>0</v>
      </c>
      <c r="K69" s="33"/>
      <c r="L69" s="33"/>
      <c r="M69" s="33"/>
      <c r="N69" s="33"/>
      <c r="O69" s="37"/>
      <c r="P69" s="38"/>
      <c r="Q69" s="38"/>
    </row>
    <row r="70" spans="1:17" ht="12.75" customHeight="1">
      <c r="A70" s="32"/>
      <c r="B70" s="30"/>
      <c r="C70" s="33"/>
      <c r="D70" s="28"/>
      <c r="E70" s="33"/>
      <c r="F70" s="33"/>
      <c r="G70" s="33"/>
      <c r="H70" s="264"/>
      <c r="I70" s="264"/>
      <c r="J70" s="264"/>
      <c r="K70" s="33"/>
      <c r="L70" s="33"/>
      <c r="M70" s="33"/>
      <c r="N70" s="33"/>
      <c r="O70" s="37"/>
      <c r="P70" s="38"/>
      <c r="Q70" s="38"/>
    </row>
    <row r="71" spans="1:17" ht="17.149999999999999" customHeight="1">
      <c r="A71" s="32"/>
      <c r="B71" s="30"/>
      <c r="C71" s="33"/>
      <c r="D71" s="28"/>
      <c r="E71" s="33"/>
      <c r="F71" s="33"/>
      <c r="G71" s="33"/>
      <c r="H71" s="246" t="s">
        <v>56</v>
      </c>
      <c r="I71" s="246" t="s">
        <v>57</v>
      </c>
      <c r="J71" s="246" t="s">
        <v>58</v>
      </c>
      <c r="K71" s="246" t="s">
        <v>61</v>
      </c>
      <c r="L71" s="264"/>
      <c r="M71" s="33"/>
      <c r="N71" s="33"/>
      <c r="O71" s="37"/>
      <c r="P71" s="38"/>
      <c r="Q71" s="38"/>
    </row>
    <row r="72" spans="1:17" ht="15" customHeight="1">
      <c r="A72" s="32"/>
      <c r="B72" s="70" t="s">
        <v>112</v>
      </c>
      <c r="C72" s="429" t="s">
        <v>113</v>
      </c>
      <c r="D72" s="429"/>
      <c r="E72" s="429"/>
      <c r="F72" s="429"/>
      <c r="G72" s="299" t="s">
        <v>114</v>
      </c>
      <c r="H72" s="274">
        <f>IF(H13&lt;0,IF(H68&gt;-H13,-H16*(H9/100)/(1+H11)*(-H13)*0.1,-H16*(H9/100)/(1+H11)*H68*0.1),0)</f>
        <v>0</v>
      </c>
      <c r="I72" s="274">
        <f>IF(I13&lt;0,IF(I68&gt;-I13,-I16*(I9/100)/(1+I11)*(-I13)*0.5,-I16*(I9/100)/(1+I11)*I68*0.5),0)</f>
        <v>0</v>
      </c>
      <c r="J72" s="274">
        <f>IF(J13&lt;0,IF(J68&gt;-J13,-J16*(J9/100)/(1+J11)*(-J13)-J16*(J9/100)/(1+J11)*(J13+J68)*0.2,-J16*(J9/100)/(1+J11)*J68),-J16*(J9/100)/(1+J11)*J68*0.2)</f>
        <v>0</v>
      </c>
      <c r="K72" s="274">
        <f>SUM(H72:J72)</f>
        <v>0</v>
      </c>
      <c r="L72" s="264"/>
      <c r="M72" s="33"/>
      <c r="N72" s="33"/>
      <c r="O72" s="37"/>
      <c r="P72" s="38"/>
      <c r="Q72" s="38"/>
    </row>
    <row r="73" spans="1:17" ht="15" customHeight="1">
      <c r="A73" s="32"/>
      <c r="B73" s="30" t="s">
        <v>115</v>
      </c>
      <c r="C73" s="429" t="s">
        <v>116</v>
      </c>
      <c r="D73" s="429"/>
      <c r="E73" s="429"/>
      <c r="F73" s="429"/>
      <c r="G73" s="299" t="s">
        <v>117</v>
      </c>
      <c r="H73" s="274">
        <f>IF(H13&gt;0,IF(-H69&gt;H13,-H16*(H9/100)/(1+H11)*(H13+H69)*0.1,0),-H16*(H9/100)/(1+H11)*H69*0.1)</f>
        <v>0</v>
      </c>
      <c r="I73" s="274">
        <f>IF(I13&gt;0,IF(-I69&gt;I13,-I16*(I9/100)/(1+I11)*(I13+I69)*0.5,0),-I16*(I9/100)/(1+I11)*I69*0.5)</f>
        <v>0</v>
      </c>
      <c r="J73" s="274">
        <f>IF(J13&gt;0,IF(-J69&gt;J13,-J16*(J9/100)/(1+J11)*(-J13)*0.2-J16*(J9/100)/(1+J11)*(J13+J69),-J16*(J9/100)/(1+J11)*J69*0.2),-J16*(J9/100)/(1+J11)*J69)</f>
        <v>0</v>
      </c>
      <c r="K73" s="274">
        <f>SUM(H73:J73)</f>
        <v>0</v>
      </c>
      <c r="L73" s="264"/>
      <c r="M73" s="33"/>
      <c r="N73" s="33"/>
      <c r="O73" s="37"/>
      <c r="P73" s="38"/>
      <c r="Q73" s="284"/>
    </row>
    <row r="74" spans="1:17" ht="15.75" customHeight="1">
      <c r="A74" s="32"/>
      <c r="B74" s="200"/>
      <c r="C74" s="432"/>
      <c r="D74" s="433"/>
      <c r="E74" s="433"/>
      <c r="F74" s="433"/>
      <c r="G74" s="204"/>
      <c r="H74" s="258"/>
      <c r="I74" s="259"/>
      <c r="J74" s="258"/>
      <c r="K74" s="263"/>
      <c r="L74" s="263"/>
      <c r="M74" s="33"/>
      <c r="N74" s="33"/>
      <c r="O74" s="37"/>
      <c r="P74" s="38"/>
      <c r="Q74" s="284"/>
    </row>
    <row r="75" spans="1:17" ht="20.149999999999999" customHeight="1">
      <c r="A75" s="32"/>
      <c r="B75" s="67" t="s">
        <v>118</v>
      </c>
      <c r="C75" s="258"/>
      <c r="D75" s="258"/>
      <c r="E75" s="258"/>
      <c r="F75" s="258"/>
      <c r="G75" s="33"/>
      <c r="H75" s="246" t="s">
        <v>56</v>
      </c>
      <c r="I75" s="246" t="s">
        <v>57</v>
      </c>
      <c r="J75" s="246" t="s">
        <v>58</v>
      </c>
      <c r="K75" s="246" t="s">
        <v>61</v>
      </c>
      <c r="L75" s="33"/>
      <c r="M75" s="33"/>
      <c r="N75" s="33"/>
      <c r="O75" s="37"/>
      <c r="P75" s="38"/>
      <c r="Q75" s="38"/>
    </row>
    <row r="76" spans="1:17" ht="15" customHeight="1">
      <c r="A76" s="32"/>
      <c r="B76" s="70" t="s">
        <v>119</v>
      </c>
      <c r="C76" s="429" t="s">
        <v>113</v>
      </c>
      <c r="D76" s="429"/>
      <c r="E76" s="429"/>
      <c r="F76" s="429"/>
      <c r="G76" s="299" t="s">
        <v>114</v>
      </c>
      <c r="H76" s="274">
        <f>'Vedlegg2 - Alternativ beregning'!D538</f>
        <v>0</v>
      </c>
      <c r="I76" s="274">
        <f>'Vedlegg2 - Alternativ beregning'!E538</f>
        <v>0</v>
      </c>
      <c r="J76" s="274">
        <f>'Vedlegg2 - Alternativ beregning'!F538</f>
        <v>0</v>
      </c>
      <c r="K76" s="274">
        <f>'Vedlegg2 - Alternativ beregning'!G539</f>
        <v>0</v>
      </c>
      <c r="L76" s="33"/>
      <c r="M76" s="33"/>
      <c r="N76" s="33"/>
      <c r="O76" s="37"/>
      <c r="P76" s="38"/>
      <c r="Q76" s="38"/>
    </row>
    <row r="77" spans="1:17" ht="15" customHeight="1">
      <c r="A77" s="32"/>
      <c r="B77" s="30" t="s">
        <v>120</v>
      </c>
      <c r="C77" s="429" t="s">
        <v>116</v>
      </c>
      <c r="D77" s="429"/>
      <c r="E77" s="429"/>
      <c r="F77" s="429"/>
      <c r="G77" s="299" t="s">
        <v>117</v>
      </c>
      <c r="H77" s="274">
        <f>'Vedlegg2 - Alternativ beregning'!D605</f>
        <v>0</v>
      </c>
      <c r="I77" s="274">
        <f>'Vedlegg2 - Alternativ beregning'!E605</f>
        <v>0</v>
      </c>
      <c r="J77" s="274">
        <f>'Vedlegg2 - Alternativ beregning'!F605</f>
        <v>0</v>
      </c>
      <c r="K77" s="274">
        <f>'Vedlegg2 - Alternativ beregning'!G606</f>
        <v>0</v>
      </c>
      <c r="L77" s="264"/>
      <c r="M77" s="33"/>
      <c r="N77" s="33"/>
      <c r="O77" s="37"/>
      <c r="P77" s="38"/>
      <c r="Q77" s="284"/>
    </row>
    <row r="78" spans="1:17" ht="18" customHeight="1">
      <c r="A78" s="32"/>
      <c r="B78" s="200"/>
      <c r="C78" s="432"/>
      <c r="D78" s="433"/>
      <c r="E78" s="433"/>
      <c r="F78" s="433"/>
      <c r="G78" s="204"/>
      <c r="H78" s="258"/>
      <c r="I78" s="259"/>
      <c r="J78" s="258"/>
      <c r="K78" s="228"/>
      <c r="L78" s="263"/>
      <c r="M78" s="264"/>
      <c r="N78" s="33"/>
      <c r="O78" s="37"/>
      <c r="P78" s="38"/>
      <c r="Q78" s="284"/>
    </row>
    <row r="79" spans="1:17" ht="12.75" customHeight="1">
      <c r="A79" s="32"/>
      <c r="B79" s="59" t="s">
        <v>121</v>
      </c>
      <c r="C79" s="33"/>
      <c r="D79" s="28"/>
      <c r="E79" s="33"/>
      <c r="F79" s="33"/>
      <c r="G79" s="33"/>
      <c r="H79" s="259"/>
      <c r="I79" s="33"/>
      <c r="J79" s="33"/>
      <c r="K79" s="33"/>
      <c r="L79" s="33"/>
      <c r="M79" s="264"/>
      <c r="N79" s="33"/>
      <c r="O79" s="37"/>
      <c r="P79" s="38"/>
      <c r="Q79" s="38"/>
    </row>
    <row r="80" spans="1:17" ht="15.75" customHeight="1">
      <c r="A80" s="32"/>
      <c r="B80" s="27"/>
      <c r="C80" s="28"/>
      <c r="D80" s="28"/>
      <c r="E80" s="33"/>
      <c r="F80" s="33"/>
      <c r="G80" s="33"/>
      <c r="H80" s="259"/>
      <c r="I80" s="33"/>
      <c r="J80" s="33"/>
      <c r="K80" s="33"/>
      <c r="L80" s="33"/>
      <c r="M80" s="33"/>
      <c r="N80" s="33"/>
      <c r="O80" s="37"/>
      <c r="P80" s="38"/>
      <c r="Q80" s="38"/>
    </row>
    <row r="81" spans="1:15" ht="12.75" customHeight="1">
      <c r="A81" s="32"/>
      <c r="B81" s="30" t="s">
        <v>122</v>
      </c>
      <c r="C81" s="71"/>
      <c r="D81" s="33"/>
      <c r="E81" s="33"/>
      <c r="F81" s="65" t="s">
        <v>123</v>
      </c>
      <c r="G81" s="65" t="s">
        <v>124</v>
      </c>
      <c r="H81" s="33"/>
      <c r="I81" s="65" t="s">
        <v>61</v>
      </c>
      <c r="J81" s="33"/>
      <c r="K81" s="65"/>
      <c r="L81" s="65"/>
      <c r="M81" s="33"/>
      <c r="N81" s="33"/>
      <c r="O81" s="37"/>
    </row>
    <row r="82" spans="1:15" ht="15" customHeight="1">
      <c r="A82" s="32"/>
      <c r="B82" s="30" t="s">
        <v>125</v>
      </c>
      <c r="C82" s="33" t="s">
        <v>126</v>
      </c>
      <c r="D82" s="33"/>
      <c r="E82" s="33" t="s">
        <v>127</v>
      </c>
      <c r="F82" s="282">
        <v>0</v>
      </c>
      <c r="G82" s="282">
        <v>0</v>
      </c>
      <c r="H82" s="33"/>
      <c r="I82" s="274">
        <f>SUM(F82:G82)</f>
        <v>0</v>
      </c>
      <c r="J82" s="33"/>
      <c r="K82" s="263"/>
      <c r="L82" s="263"/>
      <c r="M82" s="33"/>
      <c r="N82" s="33"/>
      <c r="O82" s="37"/>
    </row>
    <row r="83" spans="1:15" ht="15" customHeight="1">
      <c r="A83" s="32"/>
      <c r="B83" s="30" t="s">
        <v>128</v>
      </c>
      <c r="C83" s="33" t="s">
        <v>71</v>
      </c>
      <c r="D83" s="33"/>
      <c r="E83" s="33" t="s">
        <v>129</v>
      </c>
      <c r="F83" s="300">
        <v>0</v>
      </c>
      <c r="G83" s="300">
        <v>0</v>
      </c>
      <c r="H83" s="33"/>
      <c r="I83" s="264"/>
      <c r="J83" s="264"/>
      <c r="K83" s="264"/>
      <c r="L83" s="264"/>
      <c r="M83" s="264"/>
      <c r="N83" s="33"/>
      <c r="O83" s="37"/>
    </row>
    <row r="84" spans="1:15" ht="15" customHeight="1">
      <c r="A84" s="32"/>
      <c r="B84" s="30" t="s">
        <v>130</v>
      </c>
      <c r="C84" s="33" t="s">
        <v>131</v>
      </c>
      <c r="D84" s="33"/>
      <c r="E84" s="33" t="s">
        <v>78</v>
      </c>
      <c r="F84" s="287">
        <f>(IF(F83=0,0,IF(F83&gt;0.74999,LOOKUP(ROUND(F83,0),'Vedlegg 1 - Rentekurve'!C10:C144,'Vedlegg 1 - Rentekurve'!D10:D144),IF(F83&gt;0.37499,'Vedlegg 1 - Rentekurve'!D9,'Vedlegg 1 - Rentekurve'!D8))))</f>
        <v>0</v>
      </c>
      <c r="G84" s="287">
        <f>(IF(G83=0,0,IF(G83&gt;0.74999,LOOKUP(ROUND(G83,0),'Vedlegg 1 - Rentekurve'!C10:C144,'Vedlegg 1 - Rentekurve'!D10:D144),IF(G83&gt;0.37499,'Vedlegg 1 - Rentekurve'!D9,'Vedlegg 1 - Rentekurve'!D8))))</f>
        <v>0</v>
      </c>
      <c r="H84" s="33"/>
      <c r="I84" s="264"/>
      <c r="J84" s="264"/>
      <c r="K84" s="264"/>
      <c r="L84" s="264"/>
      <c r="M84" s="264"/>
      <c r="N84" s="33"/>
      <c r="O84" s="37"/>
    </row>
    <row r="85" spans="1:15" ht="12.75" customHeight="1">
      <c r="A85" s="32"/>
      <c r="B85" s="30"/>
      <c r="C85" s="33"/>
      <c r="D85" s="33"/>
      <c r="E85" s="33"/>
      <c r="F85" s="263"/>
      <c r="G85" s="263"/>
      <c r="H85" s="33"/>
      <c r="I85" s="264"/>
      <c r="J85" s="264"/>
      <c r="K85" s="264"/>
      <c r="L85" s="264"/>
      <c r="M85" s="264"/>
      <c r="N85" s="33"/>
      <c r="O85" s="37"/>
    </row>
    <row r="86" spans="1:15" ht="15" customHeight="1">
      <c r="A86" s="32"/>
      <c r="B86" s="30"/>
      <c r="C86" s="33" t="s">
        <v>98</v>
      </c>
      <c r="D86" s="33"/>
      <c r="E86" s="33"/>
      <c r="F86" s="287">
        <f>LOOKUP((IF(ROUND(F$83,0)&gt;29,30,IF(AND(F$83&lt;1,F$83&gt;0),0.25*ROUND(F$83*4,0),ROUND(F$83,0)))),$H$30:$H$62,$I$30:$I$62)</f>
        <v>0.7</v>
      </c>
      <c r="G86" s="287">
        <f>LOOKUP((IF(ROUND(G$83,0)&gt;29,30,IF(AND(G$83&lt;1,G$83&gt;0),0.25*ROUND(G$83*4,0),ROUND(G$83,0)))),$H$30:$H$62,$I$30:$I$62)</f>
        <v>0.7</v>
      </c>
      <c r="H86" s="33"/>
      <c r="I86" s="33"/>
      <c r="J86" s="33"/>
      <c r="K86" s="33"/>
      <c r="L86" s="33"/>
      <c r="M86" s="33"/>
      <c r="N86" s="33"/>
      <c r="O86" s="37"/>
    </row>
    <row r="87" spans="1:15" ht="15" customHeight="1">
      <c r="A87" s="32"/>
      <c r="B87" s="30"/>
      <c r="C87" s="33" t="s">
        <v>99</v>
      </c>
      <c r="D87" s="33"/>
      <c r="E87" s="33"/>
      <c r="F87" s="287">
        <f>LOOKUP((IF(ROUND(F$83,0)&gt;29,30,IF(AND(F$83&lt;1,F$83&gt;0),0.25*ROUND(F$83*4,0),ROUND(F$83,0)))),$H$30:$H$62,$J$30:$J$62)</f>
        <v>-0.75</v>
      </c>
      <c r="G87" s="287">
        <f>LOOKUP((IF(ROUND(G$83,0)&gt;29,30,IF(AND(G$83&lt;1,G$83&gt;0),0.25*ROUND(G$83*4,0),ROUND(G$83,0)))),$H$30:$H$62,$J$30:$J$62)</f>
        <v>-0.75</v>
      </c>
      <c r="H87" s="33"/>
      <c r="I87" s="33"/>
      <c r="J87" s="33"/>
      <c r="K87" s="33"/>
      <c r="L87" s="33"/>
      <c r="M87" s="33"/>
      <c r="N87" s="33"/>
      <c r="O87" s="37"/>
    </row>
    <row r="88" spans="1:15" ht="12.75" customHeight="1">
      <c r="A88" s="32"/>
      <c r="B88" s="30"/>
      <c r="C88" s="33"/>
      <c r="D88" s="33"/>
      <c r="E88" s="33"/>
      <c r="F88" s="297"/>
      <c r="G88" s="297"/>
      <c r="H88" s="33"/>
      <c r="I88" s="33"/>
      <c r="J88" s="33"/>
      <c r="K88" s="33"/>
      <c r="L88" s="33"/>
      <c r="M88" s="33"/>
      <c r="N88" s="33"/>
      <c r="O88" s="37"/>
    </row>
    <row r="89" spans="1:15" ht="15" customHeight="1">
      <c r="A89" s="32"/>
      <c r="B89" s="30" t="s">
        <v>132</v>
      </c>
      <c r="C89" s="33" t="s">
        <v>107</v>
      </c>
      <c r="D89" s="33"/>
      <c r="E89" s="33" t="s">
        <v>108</v>
      </c>
      <c r="F89" s="298">
        <f>F$84*F86*100</f>
        <v>0</v>
      </c>
      <c r="G89" s="298">
        <f>G$84*G86*100</f>
        <v>0</v>
      </c>
      <c r="H89" s="33"/>
      <c r="I89" s="33"/>
      <c r="J89" s="33"/>
      <c r="K89" s="33"/>
      <c r="L89" s="33"/>
      <c r="M89" s="33"/>
      <c r="N89" s="33"/>
      <c r="O89" s="37"/>
    </row>
    <row r="90" spans="1:15" ht="15" customHeight="1">
      <c r="A90" s="32"/>
      <c r="B90" s="30" t="s">
        <v>133</v>
      </c>
      <c r="C90" s="33" t="s">
        <v>110</v>
      </c>
      <c r="D90" s="33"/>
      <c r="E90" s="33" t="s">
        <v>111</v>
      </c>
      <c r="F90" s="298">
        <f>F$84*F87*100</f>
        <v>0</v>
      </c>
      <c r="G90" s="298">
        <f>G$84*G87*100</f>
        <v>0</v>
      </c>
      <c r="H90" s="33"/>
      <c r="I90" s="33"/>
      <c r="J90" s="33"/>
      <c r="K90" s="33"/>
      <c r="L90" s="33"/>
      <c r="M90" s="33"/>
      <c r="N90" s="33"/>
      <c r="O90" s="37"/>
    </row>
    <row r="91" spans="1:15" ht="12.75" customHeight="1">
      <c r="A91" s="9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33"/>
      <c r="O91" s="37"/>
    </row>
    <row r="92" spans="1:15" ht="12.75" customHeight="1">
      <c r="A92" s="32"/>
      <c r="B92" s="30" t="s">
        <v>134</v>
      </c>
      <c r="C92" s="33" t="s">
        <v>135</v>
      </c>
      <c r="D92" s="33"/>
      <c r="E92" s="33"/>
      <c r="F92" s="428">
        <f>-F$82*(F$83/100)/(1+F84)*F89</f>
        <v>0</v>
      </c>
      <c r="G92" s="428">
        <f>-G$82*(G$83/100)/(1+G84)*G89</f>
        <v>0</v>
      </c>
      <c r="H92" s="33"/>
      <c r="I92" s="65" t="s">
        <v>61</v>
      </c>
      <c r="J92" s="264"/>
      <c r="K92" s="264"/>
      <c r="L92" s="264"/>
      <c r="M92" s="264"/>
      <c r="N92" s="33"/>
      <c r="O92" s="37"/>
    </row>
    <row r="93" spans="1:15" ht="12.9" customHeight="1">
      <c r="A93" s="32"/>
      <c r="B93" s="30"/>
      <c r="C93" s="72" t="s">
        <v>136</v>
      </c>
      <c r="D93" s="302"/>
      <c r="E93" s="299"/>
      <c r="F93" s="428"/>
      <c r="G93" s="428"/>
      <c r="H93" s="33"/>
      <c r="I93" s="274">
        <f>SUM(F92:G92)</f>
        <v>0</v>
      </c>
      <c r="J93" s="263"/>
      <c r="K93" s="263"/>
      <c r="L93" s="263"/>
      <c r="M93" s="263"/>
      <c r="N93" s="33"/>
      <c r="O93" s="37"/>
    </row>
    <row r="94" spans="1:15" ht="12.75" customHeight="1">
      <c r="A94" s="32"/>
      <c r="B94" s="30" t="s">
        <v>137</v>
      </c>
      <c r="C94" s="33" t="s">
        <v>138</v>
      </c>
      <c r="D94" s="302"/>
      <c r="E94" s="303"/>
      <c r="F94" s="428">
        <f>-F$82*(F$83/100)/(1+F84)*F90</f>
        <v>0</v>
      </c>
      <c r="G94" s="428">
        <f>-G$82*(G$83/100)/(1+G84)*G90</f>
        <v>0</v>
      </c>
      <c r="H94" s="33"/>
      <c r="I94" s="264"/>
      <c r="J94" s="264"/>
      <c r="K94" s="264"/>
      <c r="L94" s="264"/>
      <c r="M94" s="264"/>
      <c r="N94" s="33"/>
      <c r="O94" s="37"/>
    </row>
    <row r="95" spans="1:15" ht="12.9" customHeight="1">
      <c r="A95" s="32"/>
      <c r="B95" s="30"/>
      <c r="C95" s="72" t="s">
        <v>139</v>
      </c>
      <c r="D95" s="304"/>
      <c r="E95" s="299"/>
      <c r="F95" s="428"/>
      <c r="G95" s="428"/>
      <c r="H95" s="33"/>
      <c r="I95" s="274">
        <f>SUM(F94:G94)</f>
        <v>0</v>
      </c>
      <c r="J95" s="263"/>
      <c r="K95" s="263"/>
      <c r="L95" s="263"/>
      <c r="M95" s="263"/>
      <c r="N95" s="33"/>
      <c r="O95" s="37"/>
    </row>
    <row r="96" spans="1:15" ht="12.75" customHeight="1">
      <c r="A96" s="32"/>
      <c r="B96" s="30"/>
      <c r="C96" s="28"/>
      <c r="D96" s="28"/>
      <c r="E96" s="33"/>
      <c r="F96" s="33"/>
      <c r="G96" s="33"/>
      <c r="H96" s="259"/>
      <c r="I96" s="33"/>
      <c r="J96" s="33"/>
      <c r="K96" s="33"/>
      <c r="L96" s="33"/>
      <c r="M96" s="33"/>
      <c r="N96" s="33"/>
      <c r="O96" s="37"/>
    </row>
    <row r="97" spans="1:15" ht="12.75" customHeight="1">
      <c r="A97" s="32"/>
      <c r="B97" s="30" t="s">
        <v>140</v>
      </c>
      <c r="C97" s="71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7"/>
    </row>
    <row r="98" spans="1:15" ht="12.75" customHeight="1">
      <c r="A98" s="32"/>
      <c r="B98" s="73" t="s">
        <v>141</v>
      </c>
      <c r="C98" s="429" t="s">
        <v>142</v>
      </c>
      <c r="D98" s="429"/>
      <c r="E98" s="429"/>
      <c r="F98" s="65" t="s">
        <v>123</v>
      </c>
      <c r="G98" s="65" t="s">
        <v>124</v>
      </c>
      <c r="H98" s="33"/>
      <c r="I98" s="65" t="s">
        <v>61</v>
      </c>
      <c r="J98" s="65"/>
      <c r="K98" s="65"/>
      <c r="L98" s="65"/>
      <c r="M98" s="65"/>
      <c r="N98" s="33"/>
      <c r="O98" s="37"/>
    </row>
    <row r="99" spans="1:15" ht="12.9" customHeight="1">
      <c r="A99" s="32"/>
      <c r="B99" s="73"/>
      <c r="C99" s="64" t="s">
        <v>136</v>
      </c>
      <c r="D99" s="304"/>
      <c r="E99" s="258"/>
      <c r="F99" s="282">
        <v>0</v>
      </c>
      <c r="G99" s="282">
        <v>0</v>
      </c>
      <c r="H99" s="33"/>
      <c r="I99" s="274">
        <f>SUM(F99:G99)</f>
        <v>0</v>
      </c>
      <c r="J99" s="263"/>
      <c r="K99" s="263"/>
      <c r="L99" s="263"/>
      <c r="M99" s="263"/>
      <c r="N99" s="33"/>
      <c r="O99" s="37"/>
    </row>
    <row r="100" spans="1:15" ht="12.75" customHeight="1">
      <c r="A100" s="32"/>
      <c r="B100" s="73" t="s">
        <v>143</v>
      </c>
      <c r="C100" s="429" t="s">
        <v>144</v>
      </c>
      <c r="D100" s="429"/>
      <c r="E100" s="429"/>
      <c r="F100" s="264"/>
      <c r="G100" s="264"/>
      <c r="H100" s="33"/>
      <c r="I100" s="264"/>
      <c r="J100" s="264"/>
      <c r="K100" s="264"/>
      <c r="L100" s="264"/>
      <c r="M100" s="264"/>
      <c r="N100" s="33"/>
      <c r="O100" s="37"/>
    </row>
    <row r="101" spans="1:15" ht="12.9" customHeight="1">
      <c r="A101" s="32"/>
      <c r="B101" s="30"/>
      <c r="C101" s="64" t="s">
        <v>145</v>
      </c>
      <c r="D101" s="304"/>
      <c r="E101" s="258"/>
      <c r="F101" s="282">
        <v>0</v>
      </c>
      <c r="G101" s="282">
        <v>0</v>
      </c>
      <c r="H101" s="259"/>
      <c r="I101" s="274">
        <f>SUM(F101:G101)</f>
        <v>0</v>
      </c>
      <c r="J101" s="263"/>
      <c r="K101" s="263"/>
      <c r="L101" s="263"/>
      <c r="M101" s="263"/>
      <c r="N101" s="33"/>
      <c r="O101" s="37"/>
    </row>
    <row r="102" spans="1:15" ht="12.75" customHeight="1">
      <c r="A102" s="32"/>
      <c r="B102" s="30"/>
      <c r="C102" s="64"/>
      <c r="D102" s="304"/>
      <c r="E102" s="258"/>
      <c r="F102" s="263"/>
      <c r="G102" s="263"/>
      <c r="H102" s="259"/>
      <c r="I102" s="263"/>
      <c r="J102" s="263"/>
      <c r="K102" s="263"/>
      <c r="L102" s="263"/>
      <c r="M102" s="263"/>
      <c r="N102" s="33"/>
      <c r="O102" s="37"/>
    </row>
    <row r="103" spans="1:15" ht="12.75" customHeight="1">
      <c r="A103" s="32"/>
      <c r="B103" s="30"/>
      <c r="C103" s="64"/>
      <c r="D103" s="304"/>
      <c r="E103" s="258"/>
      <c r="F103" s="263"/>
      <c r="G103" s="263"/>
      <c r="H103" s="259"/>
      <c r="I103" s="263"/>
      <c r="J103" s="263"/>
      <c r="K103" s="263"/>
      <c r="L103" s="263"/>
      <c r="M103" s="263"/>
      <c r="N103" s="33"/>
      <c r="O103" s="37"/>
    </row>
    <row r="104" spans="1:15" ht="15.9" customHeight="1">
      <c r="A104" s="32"/>
      <c r="B104" s="30" t="s">
        <v>146</v>
      </c>
      <c r="C104" s="74" t="s">
        <v>147</v>
      </c>
      <c r="D104" s="304"/>
      <c r="E104" s="258"/>
      <c r="F104" s="263"/>
      <c r="G104" s="263"/>
      <c r="H104" s="299" t="s">
        <v>148</v>
      </c>
      <c r="I104" s="274">
        <f>I93+I99</f>
        <v>0</v>
      </c>
      <c r="J104" s="263"/>
      <c r="K104" s="263"/>
      <c r="L104" s="263"/>
      <c r="M104" s="263"/>
      <c r="N104" s="33"/>
      <c r="O104" s="37"/>
    </row>
    <row r="105" spans="1:15" ht="15.9" customHeight="1">
      <c r="A105" s="32"/>
      <c r="B105" s="30" t="s">
        <v>149</v>
      </c>
      <c r="C105" s="74" t="s">
        <v>150</v>
      </c>
      <c r="D105" s="304"/>
      <c r="E105" s="258"/>
      <c r="F105" s="263"/>
      <c r="G105" s="263"/>
      <c r="H105" s="299" t="s">
        <v>151</v>
      </c>
      <c r="I105" s="274">
        <f>I95+I101</f>
        <v>0</v>
      </c>
      <c r="J105" s="263"/>
      <c r="K105" s="263"/>
      <c r="L105" s="263"/>
      <c r="M105" s="263"/>
      <c r="N105" s="33"/>
      <c r="O105" s="37"/>
    </row>
    <row r="106" spans="1:15" ht="12.75" customHeight="1">
      <c r="A106" s="32"/>
      <c r="B106" s="30"/>
      <c r="C106" s="73"/>
      <c r="D106" s="304"/>
      <c r="E106" s="258"/>
      <c r="F106" s="263"/>
      <c r="G106" s="263"/>
      <c r="H106" s="259"/>
      <c r="I106" s="263"/>
      <c r="J106" s="263"/>
      <c r="K106" s="263"/>
      <c r="L106" s="263"/>
      <c r="M106" s="263"/>
      <c r="N106" s="33"/>
      <c r="O106" s="37"/>
    </row>
    <row r="107" spans="1:15" ht="20.149999999999999" customHeight="1">
      <c r="A107" s="32"/>
      <c r="B107" s="67" t="s">
        <v>152</v>
      </c>
      <c r="C107" s="73"/>
      <c r="D107" s="304"/>
      <c r="E107" s="258"/>
      <c r="F107" s="263"/>
      <c r="G107" s="263"/>
      <c r="H107" s="259"/>
      <c r="I107" s="263"/>
      <c r="J107" s="263"/>
      <c r="K107" s="263"/>
      <c r="L107" s="263"/>
      <c r="M107" s="263"/>
      <c r="N107" s="33"/>
      <c r="O107" s="37"/>
    </row>
    <row r="108" spans="1:15" ht="15.9" customHeight="1">
      <c r="A108" s="32"/>
      <c r="B108" s="61" t="s">
        <v>153</v>
      </c>
      <c r="C108" s="74" t="s">
        <v>154</v>
      </c>
      <c r="D108" s="305"/>
      <c r="E108" s="306"/>
      <c r="F108" s="307"/>
      <c r="G108" s="307"/>
      <c r="H108" s="299" t="s">
        <v>148</v>
      </c>
      <c r="I108" s="274">
        <f>'Vedlegg2 - Alternativ beregning'!G676</f>
        <v>0</v>
      </c>
      <c r="J108" s="263"/>
      <c r="K108" s="263"/>
      <c r="L108" s="263"/>
      <c r="M108" s="263"/>
      <c r="N108" s="33"/>
      <c r="O108" s="37"/>
    </row>
    <row r="109" spans="1:15" ht="15.9" customHeight="1">
      <c r="A109" s="32"/>
      <c r="B109" s="61" t="s">
        <v>155</v>
      </c>
      <c r="C109" s="74" t="s">
        <v>156</v>
      </c>
      <c r="D109" s="305"/>
      <c r="E109" s="306"/>
      <c r="F109" s="307"/>
      <c r="G109" s="307"/>
      <c r="H109" s="299" t="s">
        <v>151</v>
      </c>
      <c r="I109" s="274">
        <f>'Vedlegg2 - Alternativ beregning'!G677</f>
        <v>0</v>
      </c>
      <c r="J109" s="263"/>
      <c r="K109" s="263"/>
      <c r="L109" s="263"/>
      <c r="M109" s="263"/>
      <c r="N109" s="33"/>
      <c r="O109" s="37"/>
    </row>
    <row r="110" spans="1:15" ht="12.75" customHeight="1">
      <c r="A110" s="32"/>
      <c r="B110" s="30"/>
      <c r="C110" s="73"/>
      <c r="D110" s="304"/>
      <c r="E110" s="258"/>
      <c r="F110" s="263"/>
      <c r="G110" s="263"/>
      <c r="H110" s="259"/>
      <c r="I110" s="263"/>
      <c r="J110" s="263"/>
      <c r="K110" s="263"/>
      <c r="L110" s="263"/>
      <c r="M110" s="263"/>
      <c r="N110" s="33"/>
      <c r="O110" s="37"/>
    </row>
    <row r="111" spans="1:15" ht="12.75" customHeight="1">
      <c r="A111" s="32"/>
      <c r="B111" s="59" t="s">
        <v>157</v>
      </c>
      <c r="C111" s="28"/>
      <c r="D111" s="28"/>
      <c r="E111" s="33"/>
      <c r="F111" s="264"/>
      <c r="G111" s="264"/>
      <c r="H111" s="259"/>
      <c r="I111" s="33"/>
      <c r="J111" s="33"/>
      <c r="K111" s="33"/>
      <c r="L111" s="33"/>
      <c r="M111" s="33"/>
      <c r="N111" s="33"/>
      <c r="O111" s="37"/>
    </row>
    <row r="112" spans="1:15" ht="12.75" customHeight="1">
      <c r="A112" s="32"/>
      <c r="B112" s="59"/>
      <c r="C112" s="28"/>
      <c r="D112" s="28"/>
      <c r="E112" s="33"/>
      <c r="F112" s="264"/>
      <c r="G112" s="264"/>
      <c r="H112" s="259"/>
      <c r="I112" s="33"/>
      <c r="J112" s="33"/>
      <c r="K112" s="33"/>
      <c r="L112" s="33"/>
      <c r="M112" s="33"/>
      <c r="N112" s="33"/>
      <c r="O112" s="37"/>
    </row>
    <row r="113" spans="1:16" ht="15.9" customHeight="1">
      <c r="A113" s="32"/>
      <c r="B113" s="30" t="s">
        <v>158</v>
      </c>
      <c r="C113" s="255" t="s">
        <v>159</v>
      </c>
      <c r="D113" s="28"/>
      <c r="E113" s="33"/>
      <c r="F113" s="33"/>
      <c r="G113" s="33"/>
      <c r="H113" s="299" t="s">
        <v>160</v>
      </c>
      <c r="I113" s="308">
        <f>IF(K76=0,MAXA(K72-IF(I108=0,I104,I108),0),MAXA(K76-IF(I108=0,I104,I108),0))</f>
        <v>0</v>
      </c>
      <c r="J113" s="33"/>
      <c r="K113" s="263"/>
      <c r="L113" s="263"/>
      <c r="M113" s="263"/>
      <c r="N113" s="33"/>
      <c r="O113" s="37"/>
      <c r="P113" s="284"/>
    </row>
    <row r="114" spans="1:16" ht="15.9" customHeight="1">
      <c r="A114" s="32"/>
      <c r="B114" s="30"/>
      <c r="C114" s="33"/>
      <c r="D114" s="28"/>
      <c r="E114" s="33"/>
      <c r="F114" s="33"/>
      <c r="G114" s="33"/>
      <c r="H114" s="259"/>
      <c r="I114" s="42"/>
      <c r="J114" s="33"/>
      <c r="K114" s="263"/>
      <c r="L114" s="263"/>
      <c r="M114" s="263"/>
      <c r="N114" s="33"/>
      <c r="O114" s="37"/>
      <c r="P114" s="284"/>
    </row>
    <row r="115" spans="1:16" ht="15" customHeight="1">
      <c r="A115" s="32"/>
      <c r="B115" s="30" t="s">
        <v>161</v>
      </c>
      <c r="C115" s="255" t="s">
        <v>162</v>
      </c>
      <c r="D115" s="28"/>
      <c r="E115" s="33"/>
      <c r="F115" s="33"/>
      <c r="G115" s="33"/>
      <c r="H115" s="299" t="s">
        <v>163</v>
      </c>
      <c r="I115" s="308">
        <f>IF(K76=0,MAXA(K73-IF(I108=0,I105,I109),0),MAXA(K77-IF(I108=0,I105,I109),0))</f>
        <v>0</v>
      </c>
      <c r="J115" s="33"/>
      <c r="K115" s="263"/>
      <c r="L115" s="263"/>
      <c r="M115" s="263"/>
      <c r="N115" s="33"/>
      <c r="O115" s="37"/>
      <c r="P115" s="284"/>
    </row>
    <row r="116" spans="1:16" ht="15.75" customHeight="1">
      <c r="A116" s="32"/>
      <c r="B116" s="30"/>
      <c r="C116" s="28"/>
      <c r="D116" s="28"/>
      <c r="E116" s="33"/>
      <c r="F116" s="33"/>
      <c r="G116" s="33"/>
      <c r="H116" s="259"/>
      <c r="I116" s="33"/>
      <c r="J116" s="33"/>
      <c r="K116" s="33"/>
      <c r="L116" s="33"/>
      <c r="M116" s="33"/>
      <c r="N116" s="33"/>
      <c r="O116" s="37"/>
      <c r="P116" s="38"/>
    </row>
    <row r="117" spans="1:16" ht="15" customHeight="1">
      <c r="A117" s="32"/>
      <c r="B117" s="30" t="s">
        <v>164</v>
      </c>
      <c r="C117" s="61" t="s">
        <v>157</v>
      </c>
      <c r="D117" s="28"/>
      <c r="E117" s="33"/>
      <c r="F117" s="33"/>
      <c r="G117" s="33"/>
      <c r="H117" s="65" t="s">
        <v>165</v>
      </c>
      <c r="I117" s="89">
        <f>MAXA(I113,I115)</f>
        <v>0</v>
      </c>
      <c r="J117" s="33"/>
      <c r="K117" s="263"/>
      <c r="L117" s="263"/>
      <c r="M117" s="263"/>
      <c r="N117" s="33"/>
      <c r="O117" s="37"/>
      <c r="P117" s="284"/>
    </row>
    <row r="118" spans="1:16" ht="15" customHeight="1">
      <c r="A118" s="32"/>
      <c r="B118" s="30"/>
      <c r="C118" s="255"/>
      <c r="D118" s="28"/>
      <c r="E118" s="33"/>
      <c r="F118" s="33"/>
      <c r="G118" s="33"/>
      <c r="H118" s="65"/>
      <c r="I118" s="33"/>
      <c r="J118" s="33"/>
      <c r="K118" s="263"/>
      <c r="L118" s="263"/>
      <c r="M118" s="263"/>
      <c r="N118" s="33"/>
      <c r="O118" s="37"/>
      <c r="P118" s="284"/>
    </row>
    <row r="119" spans="1:16" ht="12.75" customHeight="1">
      <c r="A119" s="32"/>
      <c r="B119" s="200"/>
      <c r="C119" s="33"/>
      <c r="D119" s="33"/>
      <c r="E119" s="33"/>
      <c r="F119" s="33"/>
      <c r="G119" s="33"/>
      <c r="H119" s="259"/>
      <c r="I119" s="33"/>
      <c r="J119" s="33"/>
      <c r="K119" s="33"/>
      <c r="L119" s="33"/>
      <c r="M119" s="33"/>
      <c r="N119" s="33"/>
      <c r="O119" s="37"/>
      <c r="P119" s="38"/>
    </row>
    <row r="120" spans="1:16" ht="15.75" customHeight="1">
      <c r="A120" s="32"/>
      <c r="B120" s="23" t="s">
        <v>166</v>
      </c>
      <c r="C120" s="184"/>
      <c r="D120" s="184"/>
      <c r="E120" s="184"/>
      <c r="F120" s="184"/>
      <c r="G120" s="184"/>
      <c r="H120" s="260"/>
      <c r="I120" s="25"/>
      <c r="J120" s="21"/>
      <c r="K120" s="21"/>
      <c r="L120" s="21"/>
      <c r="M120" s="21"/>
      <c r="N120" s="33"/>
      <c r="O120" s="37"/>
      <c r="P120" s="38"/>
    </row>
    <row r="121" spans="1:16" ht="12.75" customHeight="1">
      <c r="A121" s="32"/>
      <c r="B121" s="27"/>
      <c r="C121" s="33"/>
      <c r="D121" s="33"/>
      <c r="E121" s="33"/>
      <c r="F121" s="33"/>
      <c r="G121" s="33"/>
      <c r="H121" s="259"/>
      <c r="I121" s="21"/>
      <c r="J121" s="21"/>
      <c r="K121" s="21"/>
      <c r="L121" s="21"/>
      <c r="M121" s="21"/>
      <c r="N121" s="33"/>
      <c r="O121" s="37"/>
      <c r="P121" s="38"/>
    </row>
    <row r="122" spans="1:16" ht="12.75" customHeight="1">
      <c r="A122" s="32"/>
      <c r="B122" s="33"/>
      <c r="C122" s="30" t="s">
        <v>167</v>
      </c>
      <c r="D122" s="33"/>
      <c r="E122" s="33"/>
      <c r="F122" s="75" t="s">
        <v>168</v>
      </c>
      <c r="G122" s="75" t="s">
        <v>169</v>
      </c>
      <c r="H122" s="65" t="s">
        <v>170</v>
      </c>
      <c r="I122" s="65"/>
      <c r="J122" s="65"/>
      <c r="K122" s="65"/>
      <c r="L122" s="65"/>
      <c r="M122" s="65"/>
      <c r="N122" s="33"/>
      <c r="O122" s="37"/>
      <c r="P122" s="38"/>
    </row>
    <row r="123" spans="1:16" ht="12.9" customHeight="1">
      <c r="A123" s="32"/>
      <c r="B123" s="30" t="s">
        <v>171</v>
      </c>
      <c r="C123" s="33" t="s">
        <v>126</v>
      </c>
      <c r="D123" s="33"/>
      <c r="E123" s="76" t="s">
        <v>123</v>
      </c>
      <c r="F123" s="282">
        <v>0</v>
      </c>
      <c r="G123" s="282">
        <v>0</v>
      </c>
      <c r="H123" s="282">
        <v>0</v>
      </c>
      <c r="I123" s="274">
        <f>SUM(F123:H124)</f>
        <v>0</v>
      </c>
      <c r="J123" s="263"/>
      <c r="K123" s="263"/>
      <c r="L123" s="263"/>
      <c r="M123" s="263"/>
      <c r="N123" s="33"/>
      <c r="O123" s="37"/>
      <c r="P123" s="38"/>
    </row>
    <row r="124" spans="1:16" ht="12.9" customHeight="1">
      <c r="A124" s="32"/>
      <c r="B124" s="30"/>
      <c r="C124" s="33"/>
      <c r="D124" s="33"/>
      <c r="E124" s="76" t="s">
        <v>124</v>
      </c>
      <c r="F124" s="282">
        <v>0</v>
      </c>
      <c r="G124" s="282">
        <v>0</v>
      </c>
      <c r="H124" s="282">
        <v>0</v>
      </c>
      <c r="I124" s="263"/>
      <c r="J124" s="263"/>
      <c r="K124" s="263"/>
      <c r="L124" s="263"/>
      <c r="M124" s="263"/>
      <c r="N124" s="33"/>
      <c r="O124" s="37"/>
      <c r="P124" s="38"/>
    </row>
    <row r="125" spans="1:16" ht="13">
      <c r="A125" s="32"/>
      <c r="B125" s="30" t="s">
        <v>172</v>
      </c>
      <c r="C125" s="33" t="s">
        <v>173</v>
      </c>
      <c r="D125" s="33"/>
      <c r="E125" s="33"/>
      <c r="F125" s="309">
        <v>0.41860000000000003</v>
      </c>
      <c r="G125" s="309">
        <v>0.51859999999999995</v>
      </c>
      <c r="H125" s="447">
        <f>30%+0.77*(F125-39%)</f>
        <v>0.32202199999999997</v>
      </c>
      <c r="I125" s="21"/>
      <c r="J125" s="21"/>
      <c r="K125" s="21"/>
      <c r="L125" s="77"/>
      <c r="M125" s="77"/>
      <c r="N125" s="77"/>
      <c r="O125" s="37"/>
      <c r="P125" s="38"/>
    </row>
    <row r="126" spans="1:16" ht="13">
      <c r="A126" s="32"/>
      <c r="B126" s="30" t="s">
        <v>174</v>
      </c>
      <c r="C126" s="33" t="s">
        <v>175</v>
      </c>
      <c r="D126" s="33"/>
      <c r="E126" s="33"/>
      <c r="F126" s="274">
        <f>(F123+F124)*-F125</f>
        <v>0</v>
      </c>
      <c r="G126" s="274">
        <f>(G123+G124)*-G125</f>
        <v>0</v>
      </c>
      <c r="H126" s="274">
        <f>(H123+H124)*-H125</f>
        <v>0</v>
      </c>
      <c r="I126" s="263"/>
      <c r="J126" s="263"/>
      <c r="K126" s="263"/>
      <c r="L126" s="263"/>
      <c r="M126" s="263"/>
      <c r="N126" s="33"/>
      <c r="O126" s="37"/>
      <c r="P126" s="38"/>
    </row>
    <row r="127" spans="1:16">
      <c r="A127" s="32"/>
      <c r="B127" s="33"/>
      <c r="C127" s="33"/>
      <c r="D127" s="33"/>
      <c r="E127" s="33"/>
      <c r="F127" s="33"/>
      <c r="G127" s="33"/>
      <c r="H127" s="259"/>
      <c r="I127" s="21"/>
      <c r="J127" s="21"/>
      <c r="K127" s="21"/>
      <c r="L127" s="21"/>
      <c r="M127" s="21"/>
      <c r="N127" s="33"/>
      <c r="O127" s="37"/>
      <c r="P127" s="38"/>
    </row>
    <row r="128" spans="1:16" ht="13">
      <c r="A128" s="32"/>
      <c r="B128" s="30"/>
      <c r="C128" s="30" t="s">
        <v>176</v>
      </c>
      <c r="D128" s="33"/>
      <c r="E128" s="33"/>
      <c r="F128" s="33"/>
      <c r="G128" s="33"/>
      <c r="H128" s="259"/>
      <c r="I128" s="21"/>
      <c r="J128" s="21"/>
      <c r="K128" s="21"/>
      <c r="L128" s="21"/>
      <c r="M128" s="21"/>
      <c r="N128" s="33"/>
      <c r="O128" s="37"/>
      <c r="P128" s="38"/>
    </row>
    <row r="129" spans="1:15" ht="13">
      <c r="A129" s="32"/>
      <c r="B129" s="30" t="s">
        <v>177</v>
      </c>
      <c r="C129" s="33" t="s">
        <v>178</v>
      </c>
      <c r="D129" s="33"/>
      <c r="E129" s="33"/>
      <c r="F129" s="75" t="s">
        <v>168</v>
      </c>
      <c r="G129" s="75" t="s">
        <v>169</v>
      </c>
      <c r="H129" s="65" t="s">
        <v>170</v>
      </c>
      <c r="I129" s="21"/>
      <c r="J129" s="21"/>
      <c r="K129" s="21"/>
      <c r="L129" s="21"/>
      <c r="M129" s="21"/>
      <c r="N129" s="33"/>
      <c r="O129" s="37"/>
    </row>
    <row r="130" spans="1:15" ht="12.9" customHeight="1">
      <c r="A130" s="32"/>
      <c r="B130" s="33"/>
      <c r="C130" s="33"/>
      <c r="D130" s="33"/>
      <c r="E130" s="76" t="s">
        <v>123</v>
      </c>
      <c r="F130" s="282">
        <v>0</v>
      </c>
      <c r="G130" s="282">
        <v>0</v>
      </c>
      <c r="H130" s="282">
        <v>0</v>
      </c>
      <c r="I130" s="263"/>
      <c r="J130" s="263"/>
      <c r="K130" s="263"/>
      <c r="L130" s="263"/>
      <c r="M130" s="263"/>
      <c r="N130" s="33"/>
      <c r="O130" s="37"/>
    </row>
    <row r="131" spans="1:15" ht="12.9" customHeight="1">
      <c r="A131" s="32"/>
      <c r="B131" s="30"/>
      <c r="C131" s="33"/>
      <c r="D131" s="33"/>
      <c r="E131" s="76" t="s">
        <v>124</v>
      </c>
      <c r="F131" s="282">
        <v>0</v>
      </c>
      <c r="G131" s="282">
        <v>0</v>
      </c>
      <c r="H131" s="282">
        <v>0</v>
      </c>
      <c r="I131" s="263"/>
      <c r="J131" s="263"/>
      <c r="K131" s="263"/>
      <c r="L131" s="263"/>
      <c r="M131" s="263"/>
      <c r="N131" s="33"/>
      <c r="O131" s="37"/>
    </row>
    <row r="132" spans="1:15" ht="13">
      <c r="A132" s="32"/>
      <c r="B132" s="30"/>
      <c r="C132" s="33"/>
      <c r="D132" s="33"/>
      <c r="E132" s="33"/>
      <c r="F132" s="263"/>
      <c r="G132" s="263"/>
      <c r="H132" s="259"/>
      <c r="I132" s="263"/>
      <c r="J132" s="263"/>
      <c r="K132" s="263"/>
      <c r="L132" s="263"/>
      <c r="M132" s="263"/>
      <c r="N132" s="33"/>
      <c r="O132" s="37"/>
    </row>
    <row r="133" spans="1:15" ht="13">
      <c r="A133" s="32"/>
      <c r="B133" s="30"/>
      <c r="C133" s="33"/>
      <c r="D133" s="33"/>
      <c r="E133" s="33"/>
      <c r="F133" s="75" t="s">
        <v>168</v>
      </c>
      <c r="G133" s="75" t="s">
        <v>169</v>
      </c>
      <c r="H133" s="65" t="s">
        <v>170</v>
      </c>
      <c r="I133" s="263"/>
      <c r="J133" s="263"/>
      <c r="K133" s="263"/>
      <c r="L133" s="263"/>
      <c r="M133" s="263"/>
      <c r="N133" s="33"/>
      <c r="O133" s="37"/>
    </row>
    <row r="134" spans="1:15" ht="12.9" customHeight="1">
      <c r="A134" s="32"/>
      <c r="B134" s="30" t="s">
        <v>179</v>
      </c>
      <c r="C134" s="33" t="s">
        <v>180</v>
      </c>
      <c r="D134" s="33"/>
      <c r="E134" s="33"/>
      <c r="F134" s="274">
        <f>F126+F130+F131</f>
        <v>0</v>
      </c>
      <c r="G134" s="274">
        <f>G126+G130+G131</f>
        <v>0</v>
      </c>
      <c r="H134" s="274">
        <f>H126+H130+H131</f>
        <v>0</v>
      </c>
      <c r="I134" s="263"/>
      <c r="J134" s="263"/>
      <c r="K134" s="263"/>
      <c r="L134" s="263"/>
      <c r="M134" s="263"/>
      <c r="N134" s="33"/>
      <c r="O134" s="37"/>
    </row>
    <row r="135" spans="1:15" ht="13">
      <c r="A135" s="32"/>
      <c r="B135" s="30"/>
      <c r="C135" s="33"/>
      <c r="D135" s="33"/>
      <c r="E135" s="33"/>
      <c r="F135" s="263"/>
      <c r="G135" s="263"/>
      <c r="H135" s="259"/>
      <c r="I135" s="263"/>
      <c r="J135" s="263"/>
      <c r="K135" s="263"/>
      <c r="L135" s="263"/>
      <c r="M135" s="263"/>
      <c r="N135" s="33"/>
      <c r="O135" s="37"/>
    </row>
    <row r="136" spans="1:15" ht="13">
      <c r="A136" s="32"/>
      <c r="B136" s="30" t="s">
        <v>181</v>
      </c>
      <c r="C136" s="30" t="s">
        <v>182</v>
      </c>
      <c r="D136" s="33"/>
      <c r="E136" s="33"/>
      <c r="F136" s="33"/>
      <c r="G136" s="33"/>
      <c r="H136" s="259"/>
      <c r="I136" s="259"/>
      <c r="J136" s="263"/>
      <c r="K136" s="263"/>
      <c r="L136" s="263"/>
      <c r="M136" s="263"/>
      <c r="N136" s="33"/>
      <c r="O136" s="37"/>
    </row>
    <row r="137" spans="1:15" ht="15.5">
      <c r="A137" s="32"/>
      <c r="B137" s="27"/>
      <c r="C137" s="78" t="s">
        <v>19</v>
      </c>
      <c r="D137" s="236" t="s">
        <v>168</v>
      </c>
      <c r="E137" s="237" t="s">
        <v>169</v>
      </c>
      <c r="F137" s="310" t="s">
        <v>170</v>
      </c>
      <c r="G137" s="10" t="s">
        <v>24</v>
      </c>
      <c r="H137" s="33"/>
      <c r="I137" s="259"/>
      <c r="J137" s="263"/>
      <c r="K137" s="263"/>
      <c r="L137" s="263"/>
      <c r="M137" s="263"/>
      <c r="N137" s="33"/>
      <c r="O137" s="37"/>
    </row>
    <row r="138" spans="1:15" ht="15.5">
      <c r="A138" s="32"/>
      <c r="B138" s="27"/>
      <c r="C138" s="234" t="s">
        <v>168</v>
      </c>
      <c r="D138" s="231">
        <v>1</v>
      </c>
      <c r="E138" s="232">
        <v>0.75</v>
      </c>
      <c r="F138" s="117">
        <v>0.75</v>
      </c>
      <c r="G138" s="80">
        <f>-F134</f>
        <v>0</v>
      </c>
      <c r="H138" s="33"/>
      <c r="I138" s="259"/>
      <c r="J138" s="263"/>
      <c r="K138" s="263"/>
      <c r="L138" s="263"/>
      <c r="M138" s="263"/>
      <c r="N138" s="33"/>
      <c r="O138" s="37"/>
    </row>
    <row r="139" spans="1:15" ht="15.5">
      <c r="A139" s="32"/>
      <c r="B139" s="27"/>
      <c r="C139" s="235" t="s">
        <v>169</v>
      </c>
      <c r="D139" s="233">
        <v>0.75</v>
      </c>
      <c r="E139" s="230">
        <v>1</v>
      </c>
      <c r="F139" s="79">
        <v>1</v>
      </c>
      <c r="G139" s="80">
        <f>-G134</f>
        <v>0</v>
      </c>
      <c r="H139" s="33"/>
      <c r="I139" s="259"/>
      <c r="J139" s="263"/>
      <c r="K139" s="263"/>
      <c r="L139" s="263"/>
      <c r="M139" s="263"/>
      <c r="N139" s="33"/>
      <c r="O139" s="37"/>
    </row>
    <row r="140" spans="1:15" ht="15.5">
      <c r="A140" s="32"/>
      <c r="B140" s="27"/>
      <c r="C140" s="311" t="s">
        <v>170</v>
      </c>
      <c r="D140" s="81">
        <v>0.75</v>
      </c>
      <c r="E140" s="238">
        <v>1</v>
      </c>
      <c r="F140" s="82">
        <v>1</v>
      </c>
      <c r="G140" s="80">
        <f>-H134</f>
        <v>0</v>
      </c>
      <c r="H140" s="33"/>
      <c r="I140" s="259"/>
      <c r="J140" s="239"/>
      <c r="K140" s="263"/>
      <c r="L140" s="263"/>
      <c r="M140" s="263"/>
      <c r="N140" s="33"/>
      <c r="O140" s="37"/>
    </row>
    <row r="141" spans="1:15" ht="15.5" hidden="1">
      <c r="A141" s="32"/>
      <c r="B141" s="27"/>
      <c r="C141" s="10" t="s">
        <v>27</v>
      </c>
      <c r="D141" s="83">
        <f>-F134</f>
        <v>0</v>
      </c>
      <c r="E141" s="83">
        <f>-G134</f>
        <v>0</v>
      </c>
      <c r="F141" s="83">
        <f>-H134</f>
        <v>0</v>
      </c>
      <c r="G141" s="33"/>
      <c r="H141" s="259"/>
      <c r="I141" s="263"/>
      <c r="J141" s="263"/>
      <c r="K141" s="263"/>
      <c r="L141" s="263"/>
      <c r="M141" s="263"/>
      <c r="N141" s="33"/>
      <c r="O141" s="37"/>
    </row>
    <row r="142" spans="1:15" ht="13">
      <c r="A142" s="32"/>
      <c r="B142" s="30"/>
      <c r="C142" s="33"/>
      <c r="D142" s="33"/>
      <c r="E142" s="33"/>
      <c r="F142" s="263"/>
      <c r="G142" s="263"/>
      <c r="H142" s="259"/>
      <c r="I142" s="263"/>
      <c r="J142" s="239"/>
      <c r="K142" s="263"/>
      <c r="L142" s="263"/>
      <c r="M142" s="263"/>
      <c r="N142" s="33"/>
      <c r="O142" s="37"/>
    </row>
    <row r="143" spans="1:15" ht="15" hidden="1">
      <c r="A143" s="32"/>
      <c r="B143" s="30"/>
      <c r="C143" s="30" t="s">
        <v>183</v>
      </c>
      <c r="D143" s="33"/>
      <c r="E143" s="33"/>
      <c r="F143" s="33"/>
      <c r="G143" s="259"/>
      <c r="H143" s="259"/>
      <c r="I143" s="84">
        <f>MMULT(D141:F141,MMULT(D138:F140,G138:G140))</f>
        <v>0</v>
      </c>
      <c r="J143" s="85"/>
      <c r="K143" s="85"/>
      <c r="L143" s="85"/>
      <c r="M143" s="85"/>
      <c r="N143" s="33"/>
      <c r="O143" s="37"/>
    </row>
    <row r="144" spans="1:15" hidden="1">
      <c r="A144" s="32"/>
      <c r="B144" s="33"/>
      <c r="C144" s="33"/>
      <c r="D144" s="33"/>
      <c r="E144" s="33"/>
      <c r="F144" s="33"/>
      <c r="G144" s="33"/>
      <c r="H144" s="259"/>
      <c r="I144" s="21"/>
      <c r="J144" s="21"/>
      <c r="K144" s="21"/>
      <c r="L144" s="21"/>
      <c r="M144" s="21"/>
      <c r="N144" s="33"/>
      <c r="O144" s="37"/>
    </row>
    <row r="145" spans="1:15" ht="15.9" customHeight="1">
      <c r="A145" s="32"/>
      <c r="B145" s="30" t="s">
        <v>184</v>
      </c>
      <c r="C145" s="30" t="s">
        <v>185</v>
      </c>
      <c r="D145" s="33"/>
      <c r="E145" s="33"/>
      <c r="F145" s="33"/>
      <c r="G145" s="30"/>
      <c r="H145" s="65" t="s">
        <v>186</v>
      </c>
      <c r="I145" s="50">
        <f>SQRT(I143)</f>
        <v>0</v>
      </c>
      <c r="J145" s="86"/>
      <c r="K145" s="86"/>
      <c r="L145" s="86"/>
      <c r="M145" s="86"/>
      <c r="N145" s="33"/>
      <c r="O145" s="37"/>
    </row>
    <row r="146" spans="1:15">
      <c r="A146" s="32"/>
      <c r="B146" s="33"/>
      <c r="C146" s="33"/>
      <c r="D146" s="33"/>
      <c r="E146" s="33"/>
      <c r="F146" s="33"/>
      <c r="G146" s="33"/>
      <c r="H146" s="259"/>
      <c r="I146" s="21"/>
      <c r="J146" s="21"/>
      <c r="K146" s="21"/>
      <c r="L146" s="21"/>
      <c r="M146" s="21"/>
      <c r="N146" s="33"/>
      <c r="O146" s="37"/>
    </row>
    <row r="147" spans="1:15">
      <c r="A147" s="32"/>
      <c r="B147" s="33"/>
      <c r="C147" s="33"/>
      <c r="D147" s="33"/>
      <c r="E147" s="33"/>
      <c r="F147" s="33"/>
      <c r="G147" s="33"/>
      <c r="H147" s="259"/>
      <c r="I147" s="21"/>
      <c r="J147" s="21"/>
      <c r="K147" s="21"/>
      <c r="L147" s="21"/>
      <c r="M147" s="21"/>
      <c r="N147" s="33"/>
      <c r="O147" s="37"/>
    </row>
    <row r="148" spans="1:15" ht="15.5">
      <c r="A148" s="32"/>
      <c r="B148" s="23" t="s">
        <v>187</v>
      </c>
      <c r="C148" s="184"/>
      <c r="D148" s="184"/>
      <c r="E148" s="184"/>
      <c r="F148" s="184"/>
      <c r="G148" s="184"/>
      <c r="H148" s="260"/>
      <c r="I148" s="184"/>
      <c r="J148" s="33"/>
      <c r="K148" s="33"/>
      <c r="L148" s="33"/>
      <c r="M148" s="33"/>
      <c r="N148" s="33"/>
      <c r="O148" s="37"/>
    </row>
    <row r="149" spans="1:15" ht="13">
      <c r="A149" s="32"/>
      <c r="B149" s="30"/>
      <c r="C149" s="33"/>
      <c r="D149" s="33"/>
      <c r="E149" s="33"/>
      <c r="F149" s="33"/>
      <c r="G149" s="33"/>
      <c r="H149" s="259"/>
      <c r="I149" s="33"/>
      <c r="J149" s="33"/>
      <c r="K149" s="33"/>
      <c r="L149" s="33"/>
      <c r="M149" s="33"/>
      <c r="N149" s="33"/>
      <c r="O149" s="37"/>
    </row>
    <row r="150" spans="1:15" ht="13">
      <c r="A150" s="32"/>
      <c r="B150" s="30"/>
      <c r="C150" s="30" t="s">
        <v>188</v>
      </c>
      <c r="D150" s="33"/>
      <c r="E150" s="33"/>
      <c r="F150" s="33"/>
      <c r="G150" s="33"/>
      <c r="H150" s="259"/>
      <c r="I150" s="33"/>
      <c r="J150" s="33"/>
      <c r="K150" s="33"/>
      <c r="L150" s="33"/>
      <c r="M150" s="33"/>
      <c r="N150" s="33"/>
      <c r="O150" s="37"/>
    </row>
    <row r="151" spans="1:15" ht="15.9" customHeight="1">
      <c r="A151" s="32"/>
      <c r="B151" s="30" t="s">
        <v>189</v>
      </c>
      <c r="C151" s="33" t="s">
        <v>126</v>
      </c>
      <c r="D151" s="33"/>
      <c r="E151" s="33"/>
      <c r="F151" s="33"/>
      <c r="G151" s="33"/>
      <c r="H151" s="259"/>
      <c r="I151" s="282">
        <v>0</v>
      </c>
      <c r="J151" s="263"/>
      <c r="K151" s="263"/>
      <c r="L151" s="263"/>
      <c r="M151" s="263"/>
      <c r="N151" s="33"/>
      <c r="O151" s="37"/>
    </row>
    <row r="152" spans="1:15" ht="15.9" customHeight="1">
      <c r="A152" s="32"/>
      <c r="B152" s="30" t="s">
        <v>190</v>
      </c>
      <c r="C152" s="33" t="s">
        <v>191</v>
      </c>
      <c r="D152" s="33"/>
      <c r="E152" s="33"/>
      <c r="F152" s="309">
        <v>0.25</v>
      </c>
      <c r="G152" s="33"/>
      <c r="H152" s="259"/>
      <c r="I152" s="33"/>
      <c r="J152" s="33"/>
      <c r="K152" s="33"/>
      <c r="L152" s="33"/>
      <c r="M152" s="33"/>
      <c r="N152" s="33"/>
      <c r="O152" s="37"/>
    </row>
    <row r="153" spans="1:15" ht="15.9" customHeight="1">
      <c r="A153" s="32"/>
      <c r="B153" s="30" t="s">
        <v>192</v>
      </c>
      <c r="C153" s="33" t="s">
        <v>193</v>
      </c>
      <c r="D153" s="33"/>
      <c r="E153" s="33"/>
      <c r="F153" s="309"/>
      <c r="G153" s="33"/>
      <c r="H153" s="259"/>
      <c r="I153" s="282">
        <v>0</v>
      </c>
      <c r="J153" s="33"/>
      <c r="K153" s="33"/>
      <c r="L153" s="33"/>
      <c r="M153" s="33"/>
      <c r="N153" s="33"/>
      <c r="O153" s="37"/>
    </row>
    <row r="154" spans="1:15" ht="13">
      <c r="A154" s="32"/>
      <c r="B154" s="30"/>
      <c r="C154" s="33"/>
      <c r="D154" s="33"/>
      <c r="E154" s="33"/>
      <c r="F154" s="309"/>
      <c r="G154" s="33"/>
      <c r="H154" s="259"/>
      <c r="I154" s="33"/>
      <c r="J154" s="33"/>
      <c r="K154" s="33"/>
      <c r="L154" s="33"/>
      <c r="M154" s="33"/>
      <c r="N154" s="33"/>
      <c r="O154" s="37"/>
    </row>
    <row r="155" spans="1:15" ht="15.9" customHeight="1">
      <c r="A155" s="32"/>
      <c r="B155" s="30" t="s">
        <v>194</v>
      </c>
      <c r="C155" s="30" t="s">
        <v>195</v>
      </c>
      <c r="D155" s="33"/>
      <c r="E155" s="33"/>
      <c r="F155" s="33"/>
      <c r="G155" s="30"/>
      <c r="H155" s="65" t="s">
        <v>196</v>
      </c>
      <c r="I155" s="50">
        <f>I151*F152-I153</f>
        <v>0</v>
      </c>
      <c r="J155" s="86"/>
      <c r="K155" s="86"/>
      <c r="L155" s="86"/>
      <c r="M155" s="86"/>
      <c r="N155" s="33"/>
      <c r="O155" s="37"/>
    </row>
    <row r="156" spans="1:15" ht="13">
      <c r="A156" s="32"/>
      <c r="B156" s="30"/>
      <c r="C156" s="33"/>
      <c r="D156" s="33"/>
      <c r="E156" s="33"/>
      <c r="F156" s="33"/>
      <c r="G156" s="33"/>
      <c r="H156" s="259"/>
      <c r="I156" s="33"/>
      <c r="J156" s="33"/>
      <c r="K156" s="33"/>
      <c r="L156" s="33"/>
      <c r="M156" s="33"/>
      <c r="N156" s="33"/>
      <c r="O156" s="37"/>
    </row>
    <row r="157" spans="1:15" ht="13">
      <c r="A157" s="32"/>
      <c r="B157" s="30"/>
      <c r="C157" s="33"/>
      <c r="D157" s="33"/>
      <c r="E157" s="33"/>
      <c r="F157" s="33"/>
      <c r="G157" s="33"/>
      <c r="H157" s="259"/>
      <c r="I157" s="33"/>
      <c r="J157" s="33"/>
      <c r="K157" s="33"/>
      <c r="L157" s="33"/>
      <c r="M157" s="33"/>
      <c r="N157" s="33"/>
      <c r="O157" s="37"/>
    </row>
    <row r="158" spans="1:15" ht="15.5">
      <c r="A158" s="32"/>
      <c r="B158" s="23" t="s">
        <v>197</v>
      </c>
      <c r="C158" s="184"/>
      <c r="D158" s="184"/>
      <c r="E158" s="184"/>
      <c r="F158" s="184"/>
      <c r="G158" s="184"/>
      <c r="H158" s="260"/>
      <c r="I158" s="184"/>
      <c r="J158" s="33"/>
      <c r="K158" s="33"/>
      <c r="L158" s="33"/>
      <c r="M158" s="33"/>
      <c r="N158" s="33"/>
      <c r="O158" s="37"/>
    </row>
    <row r="159" spans="1:15" ht="13">
      <c r="A159" s="32"/>
      <c r="B159" s="30"/>
      <c r="C159" s="33"/>
      <c r="D159" s="33"/>
      <c r="E159" s="33"/>
      <c r="F159" s="33"/>
      <c r="G159" s="33"/>
      <c r="H159" s="259"/>
      <c r="I159" s="33"/>
      <c r="J159" s="33"/>
      <c r="K159" s="33"/>
      <c r="L159" s="33"/>
      <c r="M159" s="33"/>
      <c r="N159" s="33"/>
      <c r="O159" s="37"/>
    </row>
    <row r="160" spans="1:15" ht="12.75" customHeight="1">
      <c r="A160" s="32"/>
      <c r="B160" s="30" t="s">
        <v>198</v>
      </c>
      <c r="C160" s="33" t="s">
        <v>199</v>
      </c>
      <c r="D160" s="33"/>
      <c r="E160" s="33"/>
      <c r="F160" s="33"/>
      <c r="G160" s="33"/>
      <c r="H160" s="259"/>
      <c r="I160" s="282">
        <v>0</v>
      </c>
      <c r="J160" s="263"/>
      <c r="K160" s="263"/>
      <c r="L160" s="263"/>
      <c r="M160" s="263"/>
      <c r="N160" s="33"/>
      <c r="O160" s="37"/>
    </row>
    <row r="161" spans="1:15" ht="12.9" customHeight="1">
      <c r="A161" s="32"/>
      <c r="B161" s="30" t="s">
        <v>200</v>
      </c>
      <c r="C161" s="33" t="s">
        <v>191</v>
      </c>
      <c r="D161" s="33"/>
      <c r="E161" s="33"/>
      <c r="F161" s="309">
        <v>0.25</v>
      </c>
      <c r="G161" s="33"/>
      <c r="H161" s="259"/>
      <c r="I161" s="264"/>
      <c r="J161" s="264"/>
      <c r="K161" s="264"/>
      <c r="L161" s="264"/>
      <c r="M161" s="264"/>
      <c r="N161" s="33"/>
      <c r="O161" s="37"/>
    </row>
    <row r="162" spans="1:15" s="62" customFormat="1" ht="30" customHeight="1">
      <c r="A162" s="252"/>
      <c r="B162" s="61" t="s">
        <v>201</v>
      </c>
      <c r="C162" s="430" t="s">
        <v>202</v>
      </c>
      <c r="D162" s="430"/>
      <c r="E162" s="430"/>
      <c r="F162" s="430"/>
      <c r="G162" s="255"/>
      <c r="H162" s="255"/>
      <c r="I162" s="312">
        <v>0</v>
      </c>
      <c r="J162" s="307"/>
      <c r="K162" s="307"/>
      <c r="L162" s="307"/>
      <c r="M162" s="307"/>
      <c r="N162" s="255"/>
      <c r="O162" s="288"/>
    </row>
    <row r="163" spans="1:15" s="62" customFormat="1" ht="30" customHeight="1">
      <c r="A163" s="252"/>
      <c r="B163" s="61" t="s">
        <v>203</v>
      </c>
      <c r="C163" s="430" t="s">
        <v>204</v>
      </c>
      <c r="D163" s="430"/>
      <c r="E163" s="430"/>
      <c r="F163" s="430"/>
      <c r="G163" s="255"/>
      <c r="H163" s="255"/>
      <c r="I163" s="312">
        <v>0</v>
      </c>
      <c r="J163" s="307"/>
      <c r="K163" s="307"/>
      <c r="L163" s="307"/>
      <c r="M163" s="307"/>
      <c r="N163" s="255"/>
      <c r="O163" s="288"/>
    </row>
    <row r="164" spans="1:15" ht="13">
      <c r="A164" s="32"/>
      <c r="B164" s="30"/>
      <c r="C164" s="33"/>
      <c r="D164" s="33"/>
      <c r="E164" s="33"/>
      <c r="F164" s="309"/>
      <c r="G164" s="33"/>
      <c r="H164" s="259"/>
      <c r="I164" s="264"/>
      <c r="J164" s="264"/>
      <c r="K164" s="264"/>
      <c r="L164" s="264"/>
      <c r="M164" s="264"/>
      <c r="N164" s="33"/>
      <c r="O164" s="37"/>
    </row>
    <row r="165" spans="1:15" ht="15.9" customHeight="1">
      <c r="A165" s="32"/>
      <c r="B165" s="30" t="s">
        <v>205</v>
      </c>
      <c r="C165" s="30" t="s">
        <v>206</v>
      </c>
      <c r="D165" s="33"/>
      <c r="E165" s="33"/>
      <c r="F165" s="33"/>
      <c r="G165" s="30"/>
      <c r="H165" s="65" t="s">
        <v>207</v>
      </c>
      <c r="I165" s="50">
        <f>-MINA(F161*I160+I162,-F161*I160+I163)</f>
        <v>0</v>
      </c>
      <c r="J165" s="86"/>
      <c r="K165" s="86"/>
      <c r="L165" s="86"/>
      <c r="M165" s="86"/>
      <c r="N165" s="33"/>
      <c r="O165" s="37"/>
    </row>
    <row r="166" spans="1:15" ht="13">
      <c r="A166" s="32"/>
      <c r="B166" s="30"/>
      <c r="C166" s="30"/>
      <c r="D166" s="33"/>
      <c r="E166" s="33"/>
      <c r="F166" s="33"/>
      <c r="G166" s="33"/>
      <c r="H166" s="259"/>
      <c r="I166" s="33"/>
      <c r="J166" s="33"/>
      <c r="K166" s="33"/>
      <c r="L166" s="33"/>
      <c r="M166" s="33"/>
      <c r="N166" s="33"/>
      <c r="O166" s="37"/>
    </row>
    <row r="167" spans="1:15" ht="13">
      <c r="A167" s="32"/>
      <c r="B167" s="200"/>
      <c r="C167" s="30"/>
      <c r="D167" s="33"/>
      <c r="E167" s="33"/>
      <c r="F167" s="33"/>
      <c r="G167" s="259"/>
      <c r="H167" s="259"/>
      <c r="I167" s="33"/>
      <c r="J167" s="33"/>
      <c r="K167" s="33"/>
      <c r="L167" s="33"/>
      <c r="M167" s="33"/>
      <c r="N167" s="33"/>
      <c r="O167" s="37"/>
    </row>
    <row r="168" spans="1:15" ht="15.5">
      <c r="A168" s="32"/>
      <c r="B168" s="23" t="s">
        <v>208</v>
      </c>
      <c r="C168" s="184"/>
      <c r="D168" s="184"/>
      <c r="E168" s="184"/>
      <c r="F168" s="184"/>
      <c r="G168" s="260"/>
      <c r="H168" s="260"/>
      <c r="I168" s="184"/>
      <c r="J168" s="33"/>
      <c r="K168" s="71" t="s">
        <v>209</v>
      </c>
      <c r="L168" s="33"/>
      <c r="M168" s="33"/>
      <c r="N168" s="33"/>
      <c r="O168" s="37"/>
    </row>
    <row r="169" spans="1:15">
      <c r="A169" s="32"/>
      <c r="B169" s="33"/>
      <c r="C169" s="33"/>
      <c r="D169" s="33"/>
      <c r="E169" s="33"/>
      <c r="F169" s="33"/>
      <c r="G169" s="259"/>
      <c r="H169" s="259"/>
      <c r="I169" s="33"/>
      <c r="J169" s="33"/>
      <c r="K169" s="33"/>
      <c r="L169" s="33"/>
      <c r="M169" s="33"/>
      <c r="N169" s="33"/>
      <c r="O169" s="37"/>
    </row>
    <row r="170" spans="1:15" ht="37.5">
      <c r="A170" s="32"/>
      <c r="B170" s="60" t="s">
        <v>210</v>
      </c>
      <c r="C170" s="313" t="s">
        <v>211</v>
      </c>
      <c r="D170" s="313" t="s">
        <v>212</v>
      </c>
      <c r="E170" s="314" t="s">
        <v>213</v>
      </c>
      <c r="F170" s="315" t="s">
        <v>214</v>
      </c>
      <c r="G170" s="315" t="s">
        <v>215</v>
      </c>
      <c r="H170" s="315" t="s">
        <v>216</v>
      </c>
      <c r="I170" s="259"/>
      <c r="J170" s="259"/>
      <c r="K170" s="315" t="s">
        <v>217</v>
      </c>
      <c r="L170" s="315" t="s">
        <v>218</v>
      </c>
      <c r="M170" s="315" t="s">
        <v>219</v>
      </c>
      <c r="N170" s="315" t="s">
        <v>220</v>
      </c>
      <c r="O170" s="37"/>
    </row>
    <row r="171" spans="1:15" ht="12.9" customHeight="1">
      <c r="A171" s="32"/>
      <c r="B171" s="33"/>
      <c r="C171" s="35" t="s">
        <v>221</v>
      </c>
      <c r="D171" s="191">
        <v>0</v>
      </c>
      <c r="E171" s="316">
        <v>8.9999999999999993E-3</v>
      </c>
      <c r="F171" s="317">
        <v>0</v>
      </c>
      <c r="G171" s="318">
        <v>0</v>
      </c>
      <c r="H171" s="319">
        <f>IF(F171&gt;0,MAX(MINA(G171,111),1),0)</f>
        <v>0</v>
      </c>
      <c r="I171" s="319">
        <f t="shared" ref="I171:I184" si="1">E171*F171*H171</f>
        <v>0</v>
      </c>
      <c r="J171" s="42"/>
      <c r="K171" s="320" t="s">
        <v>222</v>
      </c>
      <c r="L171" s="317">
        <v>0</v>
      </c>
      <c r="M171" s="317">
        <v>0</v>
      </c>
      <c r="N171" s="318">
        <v>0</v>
      </c>
      <c r="O171" s="37"/>
    </row>
    <row r="172" spans="1:15" ht="12.75" customHeight="1">
      <c r="A172" s="32"/>
      <c r="B172" s="33"/>
      <c r="C172" s="35" t="s">
        <v>223</v>
      </c>
      <c r="D172" s="191">
        <v>1</v>
      </c>
      <c r="E172" s="316">
        <v>1.0999999999999999E-2</v>
      </c>
      <c r="F172" s="317">
        <v>0</v>
      </c>
      <c r="G172" s="318">
        <v>0</v>
      </c>
      <c r="H172" s="319">
        <f>IF(F172&gt;0,MAX(MINA(G172,91),1),0)</f>
        <v>0</v>
      </c>
      <c r="I172" s="319">
        <f t="shared" si="1"/>
        <v>0</v>
      </c>
      <c r="J172" s="42"/>
      <c r="K172" s="320" t="s">
        <v>224</v>
      </c>
      <c r="L172" s="317">
        <v>0</v>
      </c>
      <c r="M172" s="317">
        <v>0</v>
      </c>
      <c r="N172" s="318">
        <v>0</v>
      </c>
      <c r="O172" s="37"/>
    </row>
    <row r="173" spans="1:15" ht="12.9" customHeight="1">
      <c r="A173" s="32"/>
      <c r="B173" s="33"/>
      <c r="C173" s="35" t="s">
        <v>225</v>
      </c>
      <c r="D173" s="191">
        <v>2</v>
      </c>
      <c r="E173" s="316">
        <v>1.4E-2</v>
      </c>
      <c r="F173" s="317">
        <v>0</v>
      </c>
      <c r="G173" s="318">
        <v>0</v>
      </c>
      <c r="H173" s="319">
        <f>IF(F173&gt;0,MAX(MINA(G173,71),1),0)</f>
        <v>0</v>
      </c>
      <c r="I173" s="319">
        <f t="shared" si="1"/>
        <v>0</v>
      </c>
      <c r="J173" s="42"/>
      <c r="K173" s="320" t="s">
        <v>226</v>
      </c>
      <c r="L173" s="317">
        <v>0</v>
      </c>
      <c r="M173" s="317">
        <v>0</v>
      </c>
      <c r="N173" s="318">
        <v>0</v>
      </c>
      <c r="O173" s="37"/>
    </row>
    <row r="174" spans="1:15" ht="12.9" customHeight="1">
      <c r="A174" s="32"/>
      <c r="B174" s="33"/>
      <c r="C174" s="35" t="s">
        <v>227</v>
      </c>
      <c r="D174" s="191">
        <v>3</v>
      </c>
      <c r="E174" s="316">
        <v>2.5000000000000001E-2</v>
      </c>
      <c r="F174" s="317">
        <v>0</v>
      </c>
      <c r="G174" s="318">
        <v>0</v>
      </c>
      <c r="H174" s="319">
        <f>IF(F174&gt;0,MAX(MINA(G174,40),1),0)</f>
        <v>0</v>
      </c>
      <c r="I174" s="319">
        <f t="shared" si="1"/>
        <v>0</v>
      </c>
      <c r="J174" s="42"/>
      <c r="K174" s="320" t="s">
        <v>228</v>
      </c>
      <c r="L174" s="317">
        <v>0</v>
      </c>
      <c r="M174" s="317">
        <v>0</v>
      </c>
      <c r="N174" s="318">
        <v>0</v>
      </c>
      <c r="O174" s="37"/>
    </row>
    <row r="175" spans="1:15" ht="12.9" customHeight="1">
      <c r="A175" s="32"/>
      <c r="B175" s="33"/>
      <c r="C175" s="35" t="s">
        <v>229</v>
      </c>
      <c r="D175" s="191">
        <v>4</v>
      </c>
      <c r="E175" s="316">
        <v>4.4999999999999998E-2</v>
      </c>
      <c r="F175" s="317">
        <v>0</v>
      </c>
      <c r="G175" s="318">
        <v>0</v>
      </c>
      <c r="H175" s="319">
        <f>IF(F175&gt;0,MAX(MINA(G175,22),1),0)</f>
        <v>0</v>
      </c>
      <c r="I175" s="319">
        <f t="shared" si="1"/>
        <v>0</v>
      </c>
      <c r="J175" s="42"/>
      <c r="K175" s="57" t="s">
        <v>230</v>
      </c>
      <c r="L175" s="317">
        <v>0</v>
      </c>
      <c r="M175" s="317">
        <v>0</v>
      </c>
      <c r="N175" s="318">
        <v>0</v>
      </c>
      <c r="O175" s="37"/>
    </row>
    <row r="176" spans="1:15" ht="12.9" customHeight="1">
      <c r="A176" s="32"/>
      <c r="B176" s="33"/>
      <c r="C176" s="35" t="s">
        <v>231</v>
      </c>
      <c r="D176" s="191">
        <v>5</v>
      </c>
      <c r="E176" s="316">
        <v>7.4999999999999997E-2</v>
      </c>
      <c r="F176" s="317">
        <v>0</v>
      </c>
      <c r="G176" s="318">
        <v>0</v>
      </c>
      <c r="H176" s="319">
        <f>IF(F176&gt;0,MAX(MINA(G176,13),1),0)</f>
        <v>0</v>
      </c>
      <c r="I176" s="319">
        <f t="shared" si="1"/>
        <v>0</v>
      </c>
      <c r="J176" s="42"/>
      <c r="K176" s="57" t="s">
        <v>232</v>
      </c>
      <c r="L176" s="317">
        <v>0</v>
      </c>
      <c r="M176" s="317">
        <v>0</v>
      </c>
      <c r="N176" s="318">
        <v>0</v>
      </c>
      <c r="O176" s="37"/>
    </row>
    <row r="177" spans="1:15" ht="12.9" customHeight="1">
      <c r="A177" s="32"/>
      <c r="B177" s="33"/>
      <c r="C177" s="35" t="s">
        <v>233</v>
      </c>
      <c r="D177" s="191">
        <v>6</v>
      </c>
      <c r="E177" s="316">
        <v>7.4999999999999997E-2</v>
      </c>
      <c r="F177" s="317">
        <v>0</v>
      </c>
      <c r="G177" s="318">
        <v>0</v>
      </c>
      <c r="H177" s="319">
        <f>IF(F177&gt;0,MAX(MINA(G177,13),1),0)</f>
        <v>0</v>
      </c>
      <c r="I177" s="319">
        <f>E177*F177*H177</f>
        <v>0</v>
      </c>
      <c r="J177" s="42"/>
      <c r="K177" s="57" t="s">
        <v>234</v>
      </c>
      <c r="L177" s="317">
        <v>0</v>
      </c>
      <c r="M177" s="317">
        <v>0</v>
      </c>
      <c r="N177" s="318">
        <v>0</v>
      </c>
      <c r="O177" s="37"/>
    </row>
    <row r="178" spans="1:15" ht="14.25" customHeight="1">
      <c r="A178" s="32"/>
      <c r="B178" s="33"/>
      <c r="C178" s="35" t="s">
        <v>235</v>
      </c>
      <c r="D178" s="191" t="s">
        <v>236</v>
      </c>
      <c r="E178" s="316">
        <v>0.03</v>
      </c>
      <c r="F178" s="317">
        <v>0</v>
      </c>
      <c r="G178" s="318">
        <v>0</v>
      </c>
      <c r="H178" s="319">
        <f>IF(F178&gt;0,MAX(MINA(G178,33),1),0)</f>
        <v>0</v>
      </c>
      <c r="I178" s="319">
        <f t="shared" si="1"/>
        <v>0</v>
      </c>
      <c r="J178" s="42"/>
      <c r="K178" s="57" t="s">
        <v>237</v>
      </c>
      <c r="L178" s="317">
        <v>0</v>
      </c>
      <c r="M178" s="317">
        <v>0</v>
      </c>
      <c r="N178" s="318">
        <v>0</v>
      </c>
      <c r="O178" s="37"/>
    </row>
    <row r="179" spans="1:15">
      <c r="A179" s="32"/>
      <c r="B179" s="33"/>
      <c r="C179" s="249" t="s">
        <v>238</v>
      </c>
      <c r="D179" s="191">
        <v>0</v>
      </c>
      <c r="E179" s="316">
        <v>7.0000000000000001E-3</v>
      </c>
      <c r="F179" s="317">
        <v>0</v>
      </c>
      <c r="G179" s="318">
        <v>0</v>
      </c>
      <c r="H179" s="319">
        <f>IF(F179&gt;0,MAX(MINA(G179,142),1),0)</f>
        <v>0</v>
      </c>
      <c r="I179" s="319">
        <f t="shared" si="1"/>
        <v>0</v>
      </c>
      <c r="J179" s="42"/>
      <c r="K179" s="57" t="s">
        <v>239</v>
      </c>
      <c r="L179" s="317">
        <v>0</v>
      </c>
      <c r="M179" s="317">
        <v>0</v>
      </c>
      <c r="N179" s="318">
        <v>0</v>
      </c>
      <c r="O179" s="37"/>
    </row>
    <row r="180" spans="1:15">
      <c r="A180" s="32"/>
      <c r="B180" s="33"/>
      <c r="C180" s="35" t="s">
        <v>240</v>
      </c>
      <c r="D180" s="191">
        <v>1</v>
      </c>
      <c r="E180" s="316">
        <v>8.9999999999999993E-3</v>
      </c>
      <c r="F180" s="321">
        <v>0</v>
      </c>
      <c r="G180" s="318">
        <v>0</v>
      </c>
      <c r="H180" s="319">
        <f>IF(F180&gt;0,MAX(MINA(G180,111),1),0)</f>
        <v>0</v>
      </c>
      <c r="I180" s="319">
        <f t="shared" si="1"/>
        <v>0</v>
      </c>
      <c r="J180" s="263"/>
      <c r="K180" s="57" t="s">
        <v>241</v>
      </c>
      <c r="L180" s="317">
        <v>0</v>
      </c>
      <c r="M180" s="317">
        <v>0</v>
      </c>
      <c r="N180" s="318">
        <v>0</v>
      </c>
      <c r="O180" s="37"/>
    </row>
    <row r="181" spans="1:15">
      <c r="A181" s="32"/>
      <c r="B181" s="33"/>
      <c r="C181" s="249" t="s">
        <v>242</v>
      </c>
      <c r="D181" s="191">
        <v>0</v>
      </c>
      <c r="E181" s="322">
        <v>6.4000000000000003E-3</v>
      </c>
      <c r="F181" s="317">
        <v>0</v>
      </c>
      <c r="G181" s="318">
        <v>0</v>
      </c>
      <c r="H181" s="319">
        <f>IF(F181&gt;0,MAX(MINA(G181,156),1),0)</f>
        <v>0</v>
      </c>
      <c r="I181" s="319">
        <f t="shared" si="1"/>
        <v>0</v>
      </c>
      <c r="J181" s="263"/>
      <c r="K181" s="320" t="s">
        <v>243</v>
      </c>
      <c r="L181" s="317">
        <v>0</v>
      </c>
      <c r="M181" s="317">
        <v>0</v>
      </c>
      <c r="N181" s="318">
        <v>0</v>
      </c>
      <c r="O181" s="37"/>
    </row>
    <row r="182" spans="1:15">
      <c r="A182" s="32"/>
      <c r="B182" s="33"/>
      <c r="C182" s="249" t="s">
        <v>244</v>
      </c>
      <c r="D182" s="191">
        <v>1</v>
      </c>
      <c r="E182" s="322">
        <v>7.7999999999999996E-3</v>
      </c>
      <c r="F182" s="317">
        <v>0</v>
      </c>
      <c r="G182" s="318">
        <v>0</v>
      </c>
      <c r="H182" s="319">
        <f>IF(F182&gt;0,MAX(MINA(G182,128),1),0)</f>
        <v>0</v>
      </c>
      <c r="I182" s="319">
        <f t="shared" si="1"/>
        <v>0</v>
      </c>
      <c r="J182" s="263"/>
      <c r="K182" s="57" t="s">
        <v>245</v>
      </c>
      <c r="L182" s="317">
        <v>0</v>
      </c>
      <c r="M182" s="317">
        <v>0</v>
      </c>
      <c r="N182" s="318">
        <v>0</v>
      </c>
      <c r="O182" s="37"/>
    </row>
    <row r="183" spans="1:15">
      <c r="A183" s="32"/>
      <c r="B183" s="33"/>
      <c r="C183" s="249" t="s">
        <v>246</v>
      </c>
      <c r="D183" s="191">
        <v>2</v>
      </c>
      <c r="E183" s="322">
        <v>0.01</v>
      </c>
      <c r="F183" s="317">
        <v>0</v>
      </c>
      <c r="G183" s="318">
        <v>0</v>
      </c>
      <c r="H183" s="319">
        <f>IF(F183&gt;0,MAX(MINA(G183,100),1),0)</f>
        <v>0</v>
      </c>
      <c r="I183" s="319">
        <f t="shared" si="1"/>
        <v>0</v>
      </c>
      <c r="J183" s="263"/>
      <c r="K183" s="57" t="s">
        <v>247</v>
      </c>
      <c r="L183" s="317">
        <v>0</v>
      </c>
      <c r="M183" s="317">
        <v>0</v>
      </c>
      <c r="N183" s="318">
        <v>0</v>
      </c>
      <c r="O183" s="37"/>
    </row>
    <row r="184" spans="1:15">
      <c r="A184" s="32"/>
      <c r="B184" s="33"/>
      <c r="C184" s="249" t="s">
        <v>248</v>
      </c>
      <c r="D184" s="191" t="s">
        <v>236</v>
      </c>
      <c r="E184" s="322">
        <v>1.67E-2</v>
      </c>
      <c r="F184" s="317">
        <v>0</v>
      </c>
      <c r="G184" s="318">
        <v>0</v>
      </c>
      <c r="H184" s="319">
        <f>IF(F184&gt;0,MAX(MINA(G184,60),1),0)</f>
        <v>0</v>
      </c>
      <c r="I184" s="319">
        <f t="shared" si="1"/>
        <v>0</v>
      </c>
      <c r="J184" s="263"/>
      <c r="K184" s="57" t="s">
        <v>249</v>
      </c>
      <c r="L184" s="317">
        <v>0</v>
      </c>
      <c r="M184" s="317">
        <v>0</v>
      </c>
      <c r="N184" s="318">
        <v>0</v>
      </c>
      <c r="O184" s="37"/>
    </row>
    <row r="185" spans="1:15" ht="13">
      <c r="A185" s="32"/>
      <c r="B185" s="30"/>
      <c r="C185" s="87" t="s">
        <v>250</v>
      </c>
      <c r="D185" s="33"/>
      <c r="E185" s="88"/>
      <c r="F185" s="323">
        <f>SUM(F171:F184)</f>
        <v>0</v>
      </c>
      <c r="G185" s="259"/>
      <c r="H185" s="259"/>
      <c r="I185" s="263"/>
      <c r="J185" s="263"/>
      <c r="K185" s="57" t="s">
        <v>251</v>
      </c>
      <c r="L185" s="317">
        <v>0</v>
      </c>
      <c r="M185" s="317">
        <v>0</v>
      </c>
      <c r="N185" s="318">
        <v>0</v>
      </c>
      <c r="O185" s="37"/>
    </row>
    <row r="186" spans="1:15" ht="15.9" customHeight="1">
      <c r="A186" s="32"/>
      <c r="B186" s="30" t="s">
        <v>252</v>
      </c>
      <c r="C186" s="33" t="s">
        <v>253</v>
      </c>
      <c r="D186" s="33"/>
      <c r="E186" s="33"/>
      <c r="F186" s="33"/>
      <c r="G186" s="259"/>
      <c r="H186" s="259"/>
      <c r="I186" s="312">
        <v>0</v>
      </c>
      <c r="J186" s="33"/>
      <c r="K186" s="57" t="s">
        <v>254</v>
      </c>
      <c r="L186" s="317">
        <v>0</v>
      </c>
      <c r="M186" s="317">
        <v>0</v>
      </c>
      <c r="N186" s="318">
        <v>0</v>
      </c>
      <c r="O186" s="37"/>
    </row>
    <row r="187" spans="1:15">
      <c r="A187" s="32"/>
      <c r="B187" s="33"/>
      <c r="C187" s="33"/>
      <c r="D187" s="33"/>
      <c r="E187" s="33"/>
      <c r="F187" s="33"/>
      <c r="G187" s="259"/>
      <c r="H187" s="259"/>
      <c r="I187" s="33"/>
      <c r="J187" s="42"/>
      <c r="K187" s="57" t="s">
        <v>255</v>
      </c>
      <c r="L187" s="317">
        <v>0</v>
      </c>
      <c r="M187" s="317">
        <v>0</v>
      </c>
      <c r="N187" s="318">
        <v>0</v>
      </c>
      <c r="O187" s="37"/>
    </row>
    <row r="188" spans="1:15" ht="17.5">
      <c r="A188" s="32"/>
      <c r="B188" s="30" t="s">
        <v>256</v>
      </c>
      <c r="C188" s="30" t="s">
        <v>257</v>
      </c>
      <c r="D188" s="30"/>
      <c r="E188" s="30"/>
      <c r="F188" s="10"/>
      <c r="G188" s="30"/>
      <c r="H188" s="65" t="s">
        <v>258</v>
      </c>
      <c r="I188" s="89">
        <f>SUM(I171:I184)-I186</f>
        <v>0</v>
      </c>
      <c r="J188" s="33"/>
      <c r="K188" s="57" t="s">
        <v>259</v>
      </c>
      <c r="L188" s="317">
        <v>0</v>
      </c>
      <c r="M188" s="317">
        <v>0</v>
      </c>
      <c r="N188" s="318">
        <v>0</v>
      </c>
      <c r="O188" s="37"/>
    </row>
    <row r="189" spans="1:15" ht="13">
      <c r="A189" s="32"/>
      <c r="B189" s="30"/>
      <c r="C189" s="10"/>
      <c r="D189" s="33"/>
      <c r="E189" s="33"/>
      <c r="F189" s="33"/>
      <c r="G189" s="259"/>
      <c r="H189" s="259"/>
      <c r="I189" s="33"/>
      <c r="J189" s="33"/>
      <c r="K189" s="324" t="s">
        <v>260</v>
      </c>
      <c r="L189" s="317">
        <v>0</v>
      </c>
      <c r="M189" s="317">
        <v>0</v>
      </c>
      <c r="N189" s="318">
        <v>0</v>
      </c>
      <c r="O189" s="37"/>
    </row>
    <row r="190" spans="1:15" ht="13">
      <c r="A190" s="32"/>
      <c r="B190" s="30"/>
      <c r="C190" s="10"/>
      <c r="D190" s="33"/>
      <c r="E190" s="33"/>
      <c r="F190" s="33"/>
      <c r="G190" s="259"/>
      <c r="H190" s="259"/>
      <c r="I190" s="33"/>
      <c r="J190" s="33"/>
      <c r="K190" s="324" t="s">
        <v>261</v>
      </c>
      <c r="L190" s="317">
        <v>0</v>
      </c>
      <c r="M190" s="317">
        <v>0</v>
      </c>
      <c r="N190" s="318">
        <v>0</v>
      </c>
      <c r="O190" s="37"/>
    </row>
    <row r="191" spans="1:15" ht="15.5">
      <c r="A191" s="32"/>
      <c r="B191" s="27"/>
      <c r="C191" s="33"/>
      <c r="D191" s="33"/>
      <c r="E191" s="33"/>
      <c r="F191" s="33"/>
      <c r="G191" s="259"/>
      <c r="H191" s="259"/>
      <c r="I191" s="33"/>
      <c r="J191" s="33"/>
      <c r="K191" s="324" t="s">
        <v>61</v>
      </c>
      <c r="L191" s="325">
        <f>SUM(L171:L190)</f>
        <v>0</v>
      </c>
      <c r="M191" s="325">
        <f>SUM(M171:M190)</f>
        <v>0</v>
      </c>
      <c r="N191" s="33"/>
      <c r="O191" s="37"/>
    </row>
    <row r="192" spans="1:15" ht="13">
      <c r="A192" s="32"/>
      <c r="B192" s="30"/>
      <c r="C192" s="10"/>
      <c r="D192" s="33"/>
      <c r="E192" s="33"/>
      <c r="F192" s="33"/>
      <c r="G192" s="259"/>
      <c r="H192" s="259"/>
      <c r="I192" s="33"/>
      <c r="J192" s="33"/>
      <c r="K192" s="42"/>
      <c r="L192" s="85"/>
      <c r="M192" s="85"/>
      <c r="N192" s="33"/>
      <c r="O192" s="37"/>
    </row>
    <row r="193" spans="1:21" ht="13">
      <c r="A193" s="32"/>
      <c r="B193" s="30"/>
      <c r="C193" s="10"/>
      <c r="D193" s="33"/>
      <c r="E193" s="33"/>
      <c r="F193" s="33"/>
      <c r="G193" s="259"/>
      <c r="H193" s="259"/>
      <c r="I193" s="33"/>
      <c r="J193" s="33"/>
      <c r="K193" s="42"/>
      <c r="L193" s="85"/>
      <c r="M193" s="85"/>
      <c r="N193" s="33"/>
      <c r="O193" s="37"/>
      <c r="P193" s="38"/>
      <c r="Q193" s="38"/>
      <c r="R193" s="38"/>
      <c r="S193" s="38"/>
      <c r="T193" s="38"/>
      <c r="U193" s="38"/>
    </row>
    <row r="194" spans="1:21" ht="15.5">
      <c r="A194" s="32"/>
      <c r="B194" s="23" t="s">
        <v>262</v>
      </c>
      <c r="C194" s="184"/>
      <c r="D194" s="184"/>
      <c r="E194" s="184"/>
      <c r="F194" s="184"/>
      <c r="G194" s="260"/>
      <c r="H194" s="260"/>
      <c r="I194" s="184"/>
      <c r="J194" s="184"/>
      <c r="K194" s="184"/>
      <c r="L194" s="85"/>
      <c r="M194" s="85"/>
      <c r="N194" s="33"/>
      <c r="O194" s="37"/>
      <c r="P194" s="38"/>
      <c r="Q194" s="38"/>
      <c r="R194" s="38"/>
      <c r="S194" s="38"/>
      <c r="T194" s="38"/>
      <c r="U194" s="38"/>
    </row>
    <row r="195" spans="1:21" ht="15.5">
      <c r="A195" s="32"/>
      <c r="B195" s="27"/>
      <c r="C195" s="33"/>
      <c r="D195" s="33"/>
      <c r="E195" s="33"/>
      <c r="F195" s="33"/>
      <c r="G195" s="259"/>
      <c r="H195" s="259"/>
      <c r="I195" s="33"/>
      <c r="J195" s="33"/>
      <c r="K195" s="33"/>
      <c r="L195" s="85"/>
      <c r="M195" s="85"/>
      <c r="N195" s="33"/>
      <c r="O195" s="37"/>
      <c r="P195" s="38"/>
      <c r="Q195" s="38"/>
      <c r="R195" s="38"/>
      <c r="S195" s="38"/>
      <c r="T195" s="38"/>
      <c r="U195" s="38"/>
    </row>
    <row r="196" spans="1:21" ht="16.5" customHeight="1">
      <c r="A196" s="32"/>
      <c r="B196" s="30" t="s">
        <v>263</v>
      </c>
      <c r="C196" s="33" t="s">
        <v>264</v>
      </c>
      <c r="D196" s="33"/>
      <c r="E196" s="33"/>
      <c r="F196" s="33"/>
      <c r="G196" s="259"/>
      <c r="H196" s="259"/>
      <c r="I196" s="319">
        <f>I82+I123+I151</f>
        <v>0</v>
      </c>
      <c r="J196" s="33"/>
      <c r="K196" s="33"/>
      <c r="L196" s="85"/>
      <c r="M196" s="85"/>
      <c r="N196" s="33"/>
      <c r="O196" s="37"/>
      <c r="P196" s="38"/>
      <c r="Q196" s="38"/>
      <c r="R196" s="38"/>
      <c r="S196" s="38"/>
      <c r="T196" s="38"/>
      <c r="U196" s="38"/>
    </row>
    <row r="197" spans="1:21" s="94" customFormat="1" ht="12" customHeight="1">
      <c r="A197" s="32"/>
      <c r="B197" s="30"/>
      <c r="C197" s="10"/>
      <c r="D197" s="33"/>
      <c r="E197" s="33"/>
      <c r="F197" s="33"/>
      <c r="G197" s="259"/>
      <c r="H197" s="259"/>
      <c r="I197" s="33"/>
      <c r="J197" s="10"/>
      <c r="K197" s="90"/>
      <c r="L197" s="91"/>
      <c r="M197" s="92"/>
      <c r="N197" s="92"/>
      <c r="O197" s="93"/>
      <c r="P197" s="326"/>
      <c r="Q197" s="326"/>
      <c r="R197" s="326"/>
      <c r="S197" s="326"/>
      <c r="T197" s="326"/>
      <c r="U197" s="326"/>
    </row>
    <row r="198" spans="1:21" ht="25">
      <c r="A198" s="327"/>
      <c r="B198" s="30" t="s">
        <v>265</v>
      </c>
      <c r="C198" s="315" t="s">
        <v>266</v>
      </c>
      <c r="D198" s="315" t="s">
        <v>211</v>
      </c>
      <c r="E198" s="315" t="s">
        <v>267</v>
      </c>
      <c r="F198" s="315" t="s">
        <v>268</v>
      </c>
      <c r="G198" s="315" t="s">
        <v>269</v>
      </c>
      <c r="H198" s="315" t="s">
        <v>270</v>
      </c>
      <c r="I198" s="315" t="s">
        <v>271</v>
      </c>
      <c r="J198" s="315" t="s">
        <v>272</v>
      </c>
      <c r="K198" s="315" t="s">
        <v>273</v>
      </c>
      <c r="L198" s="91"/>
      <c r="M198" s="91"/>
      <c r="N198" s="91"/>
      <c r="O198" s="95"/>
      <c r="P198" s="38"/>
      <c r="Q198" s="38"/>
      <c r="R198" s="38"/>
      <c r="S198" s="38"/>
      <c r="T198" s="38"/>
      <c r="U198" s="38"/>
    </row>
    <row r="199" spans="1:21">
      <c r="A199" s="32"/>
      <c r="B199" s="96"/>
      <c r="C199" s="328"/>
      <c r="D199" s="329"/>
      <c r="E199" s="317">
        <v>0</v>
      </c>
      <c r="F199" s="330">
        <f>IF(E199=0,0,E199/$I$196)</f>
        <v>0</v>
      </c>
      <c r="G199" s="330">
        <f>IF(D199="",0,IF(OR(D199="AAA",D199="AA",D199="A"),3%,IF(OR(D199="Obl m fortrinnsrett AAA",D199="Obl m fortrinnsrett AA"),15 %,1.5%)))</f>
        <v>0</v>
      </c>
      <c r="H199" s="301">
        <f>IF(E199=0,0,MAXA(E199-G199*$I$196,0))</f>
        <v>0</v>
      </c>
      <c r="I199" s="331">
        <f>IF(OR(D199="AAA",D199="AA",D199="Obl m fortrinnsrett AAA",D199="Obl m fortrinnsrett AA"),12 %,IF(D199="A",21 %,IF(D199="BBB",27 %,IF(OR(D199="BB",D199="B",D199="CCC eller lavere",D199="Ikke ratet"),73 %,0))))</f>
        <v>0</v>
      </c>
      <c r="J199" s="301">
        <f>H199*I199</f>
        <v>0</v>
      </c>
      <c r="K199" s="301">
        <f>J199*J199</f>
        <v>0</v>
      </c>
      <c r="L199" s="91"/>
      <c r="M199" s="91"/>
      <c r="N199" s="91"/>
      <c r="O199" s="95"/>
      <c r="P199" s="38"/>
      <c r="Q199" s="38"/>
      <c r="R199" s="38"/>
      <c r="S199" s="38"/>
      <c r="T199" s="38"/>
      <c r="U199" s="38"/>
    </row>
    <row r="200" spans="1:21">
      <c r="A200" s="32"/>
      <c r="B200" s="97"/>
      <c r="C200" s="328"/>
      <c r="D200" s="329"/>
      <c r="E200" s="317">
        <v>0</v>
      </c>
      <c r="F200" s="330">
        <f t="shared" ref="F200:F248" si="2">IF(E200=0,0,E200/$I$196)</f>
        <v>0</v>
      </c>
      <c r="G200" s="330">
        <f t="shared" ref="G200:G248" si="3">IF(D200="",0,IF(OR(D200="AAA",D200="AA",D200="A"),3%,IF(OR(D200="Obl m fortrinnsrett AAA",D200="Obl m fortrinnsrett AA"),15 %,1.5%)))</f>
        <v>0</v>
      </c>
      <c r="H200" s="301">
        <f t="shared" ref="H200:H248" si="4">IF(E200=0,0,MAXA(E200-G200*$I$196,0))</f>
        <v>0</v>
      </c>
      <c r="I200" s="331">
        <f t="shared" ref="I200:I248" si="5">IF(OR(D200="AAA",D200="AA",D200="Obl m fortrinnsrett AAA",D200="Obl m fortrinnsrett AA"),12 %,IF(D200="A",21 %,IF(D200="BBB",27 %,IF(OR(D200="BB",D200="B",D200="CCC eller lavere",D200="Ikke ratet"),73 %,0))))</f>
        <v>0</v>
      </c>
      <c r="J200" s="301">
        <f t="shared" ref="J200:J248" si="6">H200*I200</f>
        <v>0</v>
      </c>
      <c r="K200" s="301">
        <f t="shared" ref="K200:K248" si="7">J200*J200</f>
        <v>0</v>
      </c>
      <c r="L200" s="91"/>
      <c r="M200" s="91"/>
      <c r="N200" s="91"/>
      <c r="O200" s="95"/>
      <c r="P200" s="38"/>
      <c r="Q200" s="38"/>
      <c r="R200" s="38"/>
      <c r="S200" s="38"/>
      <c r="T200" s="38"/>
      <c r="U200" s="38"/>
    </row>
    <row r="201" spans="1:21" ht="12" customHeight="1">
      <c r="A201" s="32"/>
      <c r="B201" s="27"/>
      <c r="C201" s="328"/>
      <c r="D201" s="329"/>
      <c r="E201" s="317">
        <v>0</v>
      </c>
      <c r="F201" s="330">
        <f t="shared" si="2"/>
        <v>0</v>
      </c>
      <c r="G201" s="330">
        <f t="shared" si="3"/>
        <v>0</v>
      </c>
      <c r="H201" s="301">
        <f t="shared" si="4"/>
        <v>0</v>
      </c>
      <c r="I201" s="331">
        <f t="shared" si="5"/>
        <v>0</v>
      </c>
      <c r="J201" s="301">
        <f t="shared" si="6"/>
        <v>0</v>
      </c>
      <c r="K201" s="301">
        <f t="shared" si="7"/>
        <v>0</v>
      </c>
      <c r="L201" s="91"/>
      <c r="M201" s="91"/>
      <c r="N201" s="91"/>
      <c r="O201" s="95"/>
      <c r="P201" s="38"/>
      <c r="Q201" s="38"/>
      <c r="R201" s="38"/>
      <c r="S201" s="38"/>
      <c r="T201" s="38"/>
      <c r="U201" s="38"/>
    </row>
    <row r="202" spans="1:21" ht="12" customHeight="1">
      <c r="A202" s="32"/>
      <c r="B202" s="27"/>
      <c r="C202" s="328"/>
      <c r="D202" s="329"/>
      <c r="E202" s="317">
        <v>0</v>
      </c>
      <c r="F202" s="330">
        <f t="shared" si="2"/>
        <v>0</v>
      </c>
      <c r="G202" s="330">
        <f t="shared" si="3"/>
        <v>0</v>
      </c>
      <c r="H202" s="301">
        <f t="shared" si="4"/>
        <v>0</v>
      </c>
      <c r="I202" s="331">
        <f t="shared" si="5"/>
        <v>0</v>
      </c>
      <c r="J202" s="301">
        <f t="shared" si="6"/>
        <v>0</v>
      </c>
      <c r="K202" s="301">
        <f t="shared" si="7"/>
        <v>0</v>
      </c>
      <c r="L202" s="85"/>
      <c r="M202" s="85"/>
      <c r="N202" s="33"/>
      <c r="O202" s="37"/>
      <c r="P202" s="38"/>
      <c r="Q202" s="38"/>
      <c r="R202" s="38"/>
      <c r="S202" s="38"/>
      <c r="T202" s="38"/>
      <c r="U202" s="38"/>
    </row>
    <row r="203" spans="1:21" ht="13">
      <c r="A203" s="32"/>
      <c r="B203" s="30"/>
      <c r="C203" s="328"/>
      <c r="D203" s="329"/>
      <c r="E203" s="317">
        <v>0</v>
      </c>
      <c r="F203" s="330">
        <f t="shared" si="2"/>
        <v>0</v>
      </c>
      <c r="G203" s="330">
        <f t="shared" si="3"/>
        <v>0</v>
      </c>
      <c r="H203" s="301">
        <f t="shared" si="4"/>
        <v>0</v>
      </c>
      <c r="I203" s="331">
        <f t="shared" si="5"/>
        <v>0</v>
      </c>
      <c r="J203" s="301">
        <f t="shared" si="6"/>
        <v>0</v>
      </c>
      <c r="K203" s="301">
        <f t="shared" si="7"/>
        <v>0</v>
      </c>
      <c r="L203" s="85"/>
      <c r="M203" s="85"/>
      <c r="N203" s="33"/>
      <c r="O203" s="37"/>
      <c r="P203" s="38"/>
      <c r="Q203" s="38"/>
      <c r="R203" s="38"/>
      <c r="S203" s="38"/>
      <c r="T203" s="38"/>
      <c r="U203" s="8"/>
    </row>
    <row r="204" spans="1:21" ht="13">
      <c r="A204" s="32"/>
      <c r="B204" s="30"/>
      <c r="C204" s="328"/>
      <c r="D204" s="329"/>
      <c r="E204" s="317">
        <v>0</v>
      </c>
      <c r="F204" s="330">
        <f t="shared" si="2"/>
        <v>0</v>
      </c>
      <c r="G204" s="330">
        <f t="shared" si="3"/>
        <v>0</v>
      </c>
      <c r="H204" s="301">
        <f t="shared" si="4"/>
        <v>0</v>
      </c>
      <c r="I204" s="331">
        <f t="shared" si="5"/>
        <v>0</v>
      </c>
      <c r="J204" s="301">
        <f t="shared" si="6"/>
        <v>0</v>
      </c>
      <c r="K204" s="301">
        <f t="shared" si="7"/>
        <v>0</v>
      </c>
      <c r="L204" s="85"/>
      <c r="M204" s="85"/>
      <c r="N204" s="33"/>
      <c r="O204" s="37"/>
      <c r="P204" s="38"/>
      <c r="Q204" s="38"/>
      <c r="R204" s="38"/>
      <c r="S204" s="38"/>
      <c r="T204" s="38"/>
      <c r="U204" s="38"/>
    </row>
    <row r="205" spans="1:21" ht="13">
      <c r="A205" s="32"/>
      <c r="B205" s="30"/>
      <c r="C205" s="328"/>
      <c r="D205" s="329"/>
      <c r="E205" s="317">
        <v>0</v>
      </c>
      <c r="F205" s="330">
        <f t="shared" si="2"/>
        <v>0</v>
      </c>
      <c r="G205" s="330">
        <f t="shared" si="3"/>
        <v>0</v>
      </c>
      <c r="H205" s="301">
        <f t="shared" si="4"/>
        <v>0</v>
      </c>
      <c r="I205" s="331">
        <f t="shared" si="5"/>
        <v>0</v>
      </c>
      <c r="J205" s="301">
        <f t="shared" si="6"/>
        <v>0</v>
      </c>
      <c r="K205" s="301">
        <f t="shared" si="7"/>
        <v>0</v>
      </c>
      <c r="L205" s="85"/>
      <c r="M205" s="85"/>
      <c r="N205" s="33"/>
      <c r="O205" s="37"/>
      <c r="P205" s="38"/>
      <c r="Q205" s="38"/>
      <c r="R205" s="38"/>
      <c r="S205" s="38"/>
      <c r="T205" s="38"/>
      <c r="U205" s="38"/>
    </row>
    <row r="206" spans="1:21" ht="13">
      <c r="A206" s="32"/>
      <c r="B206" s="30"/>
      <c r="C206" s="328"/>
      <c r="D206" s="329"/>
      <c r="E206" s="317">
        <v>0</v>
      </c>
      <c r="F206" s="330">
        <f t="shared" si="2"/>
        <v>0</v>
      </c>
      <c r="G206" s="330">
        <f t="shared" si="3"/>
        <v>0</v>
      </c>
      <c r="H206" s="301">
        <f t="shared" si="4"/>
        <v>0</v>
      </c>
      <c r="I206" s="331">
        <f t="shared" si="5"/>
        <v>0</v>
      </c>
      <c r="J206" s="301">
        <f t="shared" si="6"/>
        <v>0</v>
      </c>
      <c r="K206" s="301">
        <f t="shared" si="7"/>
        <v>0</v>
      </c>
      <c r="L206" s="85"/>
      <c r="M206" s="85"/>
      <c r="N206" s="33"/>
      <c r="O206" s="37"/>
      <c r="P206" s="38"/>
      <c r="Q206" s="38"/>
      <c r="R206" s="38"/>
      <c r="S206" s="38"/>
      <c r="T206" s="38"/>
      <c r="U206" s="38"/>
    </row>
    <row r="207" spans="1:21" ht="13">
      <c r="A207" s="32"/>
      <c r="B207" s="30"/>
      <c r="C207" s="328"/>
      <c r="D207" s="329"/>
      <c r="E207" s="317">
        <v>0</v>
      </c>
      <c r="F207" s="330">
        <f t="shared" si="2"/>
        <v>0</v>
      </c>
      <c r="G207" s="330">
        <f t="shared" si="3"/>
        <v>0</v>
      </c>
      <c r="H207" s="301">
        <f t="shared" si="4"/>
        <v>0</v>
      </c>
      <c r="I207" s="331">
        <f t="shared" si="5"/>
        <v>0</v>
      </c>
      <c r="J207" s="301">
        <f t="shared" si="6"/>
        <v>0</v>
      </c>
      <c r="K207" s="301">
        <f t="shared" si="7"/>
        <v>0</v>
      </c>
      <c r="L207" s="85"/>
      <c r="M207" s="85"/>
      <c r="N207" s="33"/>
      <c r="O207" s="37"/>
      <c r="P207" s="38"/>
      <c r="Q207" s="38"/>
      <c r="R207" s="38"/>
      <c r="S207" s="38"/>
      <c r="T207" s="38"/>
      <c r="U207" s="38"/>
    </row>
    <row r="208" spans="1:21" ht="13">
      <c r="A208" s="32"/>
      <c r="B208" s="30"/>
      <c r="C208" s="328"/>
      <c r="D208" s="329"/>
      <c r="E208" s="317">
        <v>0</v>
      </c>
      <c r="F208" s="330">
        <f t="shared" si="2"/>
        <v>0</v>
      </c>
      <c r="G208" s="330">
        <f t="shared" si="3"/>
        <v>0</v>
      </c>
      <c r="H208" s="301">
        <f t="shared" si="4"/>
        <v>0</v>
      </c>
      <c r="I208" s="331">
        <f t="shared" si="5"/>
        <v>0</v>
      </c>
      <c r="J208" s="301">
        <f t="shared" si="6"/>
        <v>0</v>
      </c>
      <c r="K208" s="301">
        <f t="shared" si="7"/>
        <v>0</v>
      </c>
      <c r="L208" s="85"/>
      <c r="M208" s="85"/>
      <c r="N208" s="33"/>
      <c r="O208" s="37"/>
      <c r="P208" s="38"/>
      <c r="Q208" s="38"/>
      <c r="R208" s="38"/>
      <c r="S208" s="38"/>
      <c r="T208" s="38"/>
      <c r="U208" s="38"/>
    </row>
    <row r="209" spans="1:15" ht="13" hidden="1">
      <c r="A209" s="32"/>
      <c r="B209" s="30"/>
      <c r="C209" s="328"/>
      <c r="D209" s="329"/>
      <c r="E209" s="317">
        <v>0</v>
      </c>
      <c r="F209" s="330">
        <f t="shared" si="2"/>
        <v>0</v>
      </c>
      <c r="G209" s="330">
        <f t="shared" si="3"/>
        <v>0</v>
      </c>
      <c r="H209" s="301">
        <f t="shared" si="4"/>
        <v>0</v>
      </c>
      <c r="I209" s="331">
        <f t="shared" si="5"/>
        <v>0</v>
      </c>
      <c r="J209" s="301">
        <f t="shared" si="6"/>
        <v>0</v>
      </c>
      <c r="K209" s="301">
        <f t="shared" si="7"/>
        <v>0</v>
      </c>
      <c r="L209" s="85"/>
      <c r="M209" s="85"/>
      <c r="N209" s="33"/>
      <c r="O209" s="37"/>
    </row>
    <row r="210" spans="1:15" ht="13" hidden="1">
      <c r="A210" s="32"/>
      <c r="B210" s="30"/>
      <c r="C210" s="328"/>
      <c r="D210" s="329"/>
      <c r="E210" s="317">
        <v>0</v>
      </c>
      <c r="F210" s="330">
        <f t="shared" si="2"/>
        <v>0</v>
      </c>
      <c r="G210" s="330">
        <f t="shared" si="3"/>
        <v>0</v>
      </c>
      <c r="H210" s="301">
        <f t="shared" si="4"/>
        <v>0</v>
      </c>
      <c r="I210" s="331">
        <f t="shared" si="5"/>
        <v>0</v>
      </c>
      <c r="J210" s="301">
        <f t="shared" si="6"/>
        <v>0</v>
      </c>
      <c r="K210" s="301">
        <f t="shared" si="7"/>
        <v>0</v>
      </c>
      <c r="L210" s="85"/>
      <c r="M210" s="85"/>
      <c r="N210" s="33"/>
      <c r="O210" s="37"/>
    </row>
    <row r="211" spans="1:15" ht="13" hidden="1">
      <c r="A211" s="32"/>
      <c r="B211" s="30"/>
      <c r="C211" s="328"/>
      <c r="D211" s="329"/>
      <c r="E211" s="317">
        <v>0</v>
      </c>
      <c r="F211" s="330">
        <f t="shared" si="2"/>
        <v>0</v>
      </c>
      <c r="G211" s="330">
        <f t="shared" si="3"/>
        <v>0</v>
      </c>
      <c r="H211" s="301">
        <f t="shared" si="4"/>
        <v>0</v>
      </c>
      <c r="I211" s="331">
        <f t="shared" si="5"/>
        <v>0</v>
      </c>
      <c r="J211" s="301">
        <f t="shared" si="6"/>
        <v>0</v>
      </c>
      <c r="K211" s="301">
        <f t="shared" si="7"/>
        <v>0</v>
      </c>
      <c r="L211" s="85"/>
      <c r="M211" s="85"/>
      <c r="N211" s="33"/>
      <c r="O211" s="37"/>
    </row>
    <row r="212" spans="1:15" ht="13" hidden="1">
      <c r="A212" s="32"/>
      <c r="B212" s="30"/>
      <c r="C212" s="328"/>
      <c r="D212" s="329"/>
      <c r="E212" s="317">
        <v>0</v>
      </c>
      <c r="F212" s="330">
        <f t="shared" si="2"/>
        <v>0</v>
      </c>
      <c r="G212" s="330">
        <f t="shared" si="3"/>
        <v>0</v>
      </c>
      <c r="H212" s="301">
        <f t="shared" si="4"/>
        <v>0</v>
      </c>
      <c r="I212" s="331">
        <f t="shared" si="5"/>
        <v>0</v>
      </c>
      <c r="J212" s="301">
        <f t="shared" si="6"/>
        <v>0</v>
      </c>
      <c r="K212" s="301">
        <f t="shared" si="7"/>
        <v>0</v>
      </c>
      <c r="L212" s="85"/>
      <c r="M212" s="85"/>
      <c r="N212" s="33"/>
      <c r="O212" s="37"/>
    </row>
    <row r="213" spans="1:15" ht="13" hidden="1">
      <c r="A213" s="32"/>
      <c r="B213" s="30"/>
      <c r="C213" s="328"/>
      <c r="D213" s="329"/>
      <c r="E213" s="317">
        <v>0</v>
      </c>
      <c r="F213" s="330">
        <f t="shared" si="2"/>
        <v>0</v>
      </c>
      <c r="G213" s="330">
        <f t="shared" si="3"/>
        <v>0</v>
      </c>
      <c r="H213" s="301">
        <f t="shared" si="4"/>
        <v>0</v>
      </c>
      <c r="I213" s="331">
        <f t="shared" si="5"/>
        <v>0</v>
      </c>
      <c r="J213" s="301">
        <f t="shared" si="6"/>
        <v>0</v>
      </c>
      <c r="K213" s="301">
        <f t="shared" si="7"/>
        <v>0</v>
      </c>
      <c r="L213" s="85"/>
      <c r="M213" s="85"/>
      <c r="N213" s="33"/>
      <c r="O213" s="37"/>
    </row>
    <row r="214" spans="1:15" ht="13" hidden="1">
      <c r="A214" s="32"/>
      <c r="B214" s="30"/>
      <c r="C214" s="328"/>
      <c r="D214" s="329"/>
      <c r="E214" s="317">
        <v>0</v>
      </c>
      <c r="F214" s="330">
        <f t="shared" si="2"/>
        <v>0</v>
      </c>
      <c r="G214" s="330">
        <f t="shared" si="3"/>
        <v>0</v>
      </c>
      <c r="H214" s="301">
        <f t="shared" si="4"/>
        <v>0</v>
      </c>
      <c r="I214" s="331">
        <f t="shared" si="5"/>
        <v>0</v>
      </c>
      <c r="J214" s="301">
        <f t="shared" si="6"/>
        <v>0</v>
      </c>
      <c r="K214" s="301">
        <f t="shared" si="7"/>
        <v>0</v>
      </c>
      <c r="L214" s="85"/>
      <c r="M214" s="85"/>
      <c r="N214" s="33"/>
      <c r="O214" s="37"/>
    </row>
    <row r="215" spans="1:15" ht="13" hidden="1">
      <c r="A215" s="32"/>
      <c r="B215" s="30"/>
      <c r="C215" s="328"/>
      <c r="D215" s="329"/>
      <c r="E215" s="317">
        <v>0</v>
      </c>
      <c r="F215" s="330">
        <f t="shared" si="2"/>
        <v>0</v>
      </c>
      <c r="G215" s="330">
        <f t="shared" si="3"/>
        <v>0</v>
      </c>
      <c r="H215" s="301">
        <f t="shared" si="4"/>
        <v>0</v>
      </c>
      <c r="I215" s="331">
        <f t="shared" si="5"/>
        <v>0</v>
      </c>
      <c r="J215" s="301">
        <f t="shared" si="6"/>
        <v>0</v>
      </c>
      <c r="K215" s="301">
        <f t="shared" si="7"/>
        <v>0</v>
      </c>
      <c r="L215" s="85"/>
      <c r="M215" s="85"/>
      <c r="N215" s="33"/>
      <c r="O215" s="37"/>
    </row>
    <row r="216" spans="1:15" ht="13" hidden="1">
      <c r="A216" s="32"/>
      <c r="B216" s="30"/>
      <c r="C216" s="328"/>
      <c r="D216" s="329"/>
      <c r="E216" s="317">
        <v>0</v>
      </c>
      <c r="F216" s="330">
        <f t="shared" si="2"/>
        <v>0</v>
      </c>
      <c r="G216" s="330">
        <f t="shared" si="3"/>
        <v>0</v>
      </c>
      <c r="H216" s="301">
        <f t="shared" si="4"/>
        <v>0</v>
      </c>
      <c r="I216" s="331">
        <f t="shared" si="5"/>
        <v>0</v>
      </c>
      <c r="J216" s="301">
        <f t="shared" si="6"/>
        <v>0</v>
      </c>
      <c r="K216" s="301">
        <f t="shared" si="7"/>
        <v>0</v>
      </c>
      <c r="L216" s="85"/>
      <c r="M216" s="85"/>
      <c r="N216" s="33"/>
      <c r="O216" s="37"/>
    </row>
    <row r="217" spans="1:15" ht="13" hidden="1">
      <c r="A217" s="32"/>
      <c r="B217" s="30"/>
      <c r="C217" s="328"/>
      <c r="D217" s="329"/>
      <c r="E217" s="317">
        <v>0</v>
      </c>
      <c r="F217" s="330">
        <f t="shared" si="2"/>
        <v>0</v>
      </c>
      <c r="G217" s="330">
        <f t="shared" si="3"/>
        <v>0</v>
      </c>
      <c r="H217" s="301">
        <f t="shared" si="4"/>
        <v>0</v>
      </c>
      <c r="I217" s="331">
        <f t="shared" si="5"/>
        <v>0</v>
      </c>
      <c r="J217" s="301">
        <f t="shared" si="6"/>
        <v>0</v>
      </c>
      <c r="K217" s="301">
        <f t="shared" si="7"/>
        <v>0</v>
      </c>
      <c r="L217" s="85"/>
      <c r="M217" s="85"/>
      <c r="N217" s="33"/>
      <c r="O217" s="37"/>
    </row>
    <row r="218" spans="1:15" ht="13" hidden="1">
      <c r="A218" s="32"/>
      <c r="B218" s="30"/>
      <c r="C218" s="328"/>
      <c r="D218" s="329"/>
      <c r="E218" s="317">
        <v>0</v>
      </c>
      <c r="F218" s="330">
        <f t="shared" si="2"/>
        <v>0</v>
      </c>
      <c r="G218" s="330">
        <f t="shared" si="3"/>
        <v>0</v>
      </c>
      <c r="H218" s="301">
        <f t="shared" si="4"/>
        <v>0</v>
      </c>
      <c r="I218" s="331">
        <f t="shared" si="5"/>
        <v>0</v>
      </c>
      <c r="J218" s="301">
        <f t="shared" si="6"/>
        <v>0</v>
      </c>
      <c r="K218" s="301">
        <f t="shared" si="7"/>
        <v>0</v>
      </c>
      <c r="L218" s="85"/>
      <c r="M218" s="85"/>
      <c r="N218" s="33"/>
      <c r="O218" s="37"/>
    </row>
    <row r="219" spans="1:15" ht="13" hidden="1">
      <c r="A219" s="32"/>
      <c r="B219" s="30"/>
      <c r="C219" s="328"/>
      <c r="D219" s="329"/>
      <c r="E219" s="317">
        <v>0</v>
      </c>
      <c r="F219" s="330">
        <f t="shared" si="2"/>
        <v>0</v>
      </c>
      <c r="G219" s="330">
        <f t="shared" si="3"/>
        <v>0</v>
      </c>
      <c r="H219" s="301">
        <f t="shared" si="4"/>
        <v>0</v>
      </c>
      <c r="I219" s="331">
        <f t="shared" si="5"/>
        <v>0</v>
      </c>
      <c r="J219" s="301">
        <f t="shared" si="6"/>
        <v>0</v>
      </c>
      <c r="K219" s="301">
        <f t="shared" si="7"/>
        <v>0</v>
      </c>
      <c r="L219" s="85"/>
      <c r="M219" s="85"/>
      <c r="N219" s="33"/>
      <c r="O219" s="37"/>
    </row>
    <row r="220" spans="1:15" ht="13" hidden="1">
      <c r="A220" s="32"/>
      <c r="B220" s="30"/>
      <c r="C220" s="328"/>
      <c r="D220" s="329"/>
      <c r="E220" s="317">
        <v>0</v>
      </c>
      <c r="F220" s="330">
        <f t="shared" si="2"/>
        <v>0</v>
      </c>
      <c r="G220" s="330">
        <f t="shared" si="3"/>
        <v>0</v>
      </c>
      <c r="H220" s="301">
        <f t="shared" si="4"/>
        <v>0</v>
      </c>
      <c r="I220" s="331">
        <f t="shared" si="5"/>
        <v>0</v>
      </c>
      <c r="J220" s="301">
        <f t="shared" si="6"/>
        <v>0</v>
      </c>
      <c r="K220" s="301">
        <f t="shared" si="7"/>
        <v>0</v>
      </c>
      <c r="L220" s="85"/>
      <c r="M220" s="85"/>
      <c r="N220" s="33"/>
      <c r="O220" s="37"/>
    </row>
    <row r="221" spans="1:15" ht="13" hidden="1">
      <c r="A221" s="32"/>
      <c r="B221" s="30"/>
      <c r="C221" s="328"/>
      <c r="D221" s="329"/>
      <c r="E221" s="317">
        <v>0</v>
      </c>
      <c r="F221" s="330">
        <f t="shared" si="2"/>
        <v>0</v>
      </c>
      <c r="G221" s="330">
        <f t="shared" si="3"/>
        <v>0</v>
      </c>
      <c r="H221" s="301">
        <f t="shared" si="4"/>
        <v>0</v>
      </c>
      <c r="I221" s="331">
        <f t="shared" si="5"/>
        <v>0</v>
      </c>
      <c r="J221" s="301">
        <f t="shared" si="6"/>
        <v>0</v>
      </c>
      <c r="K221" s="301">
        <f t="shared" si="7"/>
        <v>0</v>
      </c>
      <c r="L221" s="85"/>
      <c r="M221" s="85"/>
      <c r="N221" s="33"/>
      <c r="O221" s="37"/>
    </row>
    <row r="222" spans="1:15" ht="13" hidden="1">
      <c r="A222" s="32"/>
      <c r="B222" s="30"/>
      <c r="C222" s="328"/>
      <c r="D222" s="329"/>
      <c r="E222" s="317">
        <v>0</v>
      </c>
      <c r="F222" s="330">
        <f t="shared" si="2"/>
        <v>0</v>
      </c>
      <c r="G222" s="330">
        <f t="shared" si="3"/>
        <v>0</v>
      </c>
      <c r="H222" s="301">
        <f t="shared" si="4"/>
        <v>0</v>
      </c>
      <c r="I222" s="331">
        <f t="shared" si="5"/>
        <v>0</v>
      </c>
      <c r="J222" s="301">
        <f t="shared" si="6"/>
        <v>0</v>
      </c>
      <c r="K222" s="301">
        <f t="shared" si="7"/>
        <v>0</v>
      </c>
      <c r="L222" s="85"/>
      <c r="M222" s="85"/>
      <c r="N222" s="33"/>
      <c r="O222" s="37"/>
    </row>
    <row r="223" spans="1:15" ht="13" hidden="1">
      <c r="A223" s="32"/>
      <c r="B223" s="30"/>
      <c r="C223" s="328"/>
      <c r="D223" s="329"/>
      <c r="E223" s="317">
        <v>0</v>
      </c>
      <c r="F223" s="330">
        <f t="shared" si="2"/>
        <v>0</v>
      </c>
      <c r="G223" s="330">
        <f t="shared" si="3"/>
        <v>0</v>
      </c>
      <c r="H223" s="301">
        <f t="shared" si="4"/>
        <v>0</v>
      </c>
      <c r="I223" s="331">
        <f t="shared" si="5"/>
        <v>0</v>
      </c>
      <c r="J223" s="301">
        <f t="shared" si="6"/>
        <v>0</v>
      </c>
      <c r="K223" s="301">
        <f t="shared" si="7"/>
        <v>0</v>
      </c>
      <c r="L223" s="85"/>
      <c r="M223" s="85"/>
      <c r="N223" s="33"/>
      <c r="O223" s="37"/>
    </row>
    <row r="224" spans="1:15" ht="13" hidden="1">
      <c r="A224" s="32"/>
      <c r="B224" s="30"/>
      <c r="C224" s="328"/>
      <c r="D224" s="329"/>
      <c r="E224" s="317">
        <v>0</v>
      </c>
      <c r="F224" s="330">
        <f t="shared" si="2"/>
        <v>0</v>
      </c>
      <c r="G224" s="330">
        <f t="shared" si="3"/>
        <v>0</v>
      </c>
      <c r="H224" s="301">
        <f t="shared" si="4"/>
        <v>0</v>
      </c>
      <c r="I224" s="331">
        <f t="shared" si="5"/>
        <v>0</v>
      </c>
      <c r="J224" s="301">
        <f t="shared" si="6"/>
        <v>0</v>
      </c>
      <c r="K224" s="301">
        <f t="shared" si="7"/>
        <v>0</v>
      </c>
      <c r="L224" s="85"/>
      <c r="M224" s="85"/>
      <c r="N224" s="33"/>
      <c r="O224" s="37"/>
    </row>
    <row r="225" spans="1:15" ht="13" hidden="1">
      <c r="A225" s="32"/>
      <c r="B225" s="30"/>
      <c r="C225" s="328"/>
      <c r="D225" s="329"/>
      <c r="E225" s="317">
        <v>0</v>
      </c>
      <c r="F225" s="330">
        <f t="shared" si="2"/>
        <v>0</v>
      </c>
      <c r="G225" s="330">
        <f t="shared" si="3"/>
        <v>0</v>
      </c>
      <c r="H225" s="301">
        <f t="shared" si="4"/>
        <v>0</v>
      </c>
      <c r="I225" s="331">
        <f t="shared" si="5"/>
        <v>0</v>
      </c>
      <c r="J225" s="301">
        <f t="shared" si="6"/>
        <v>0</v>
      </c>
      <c r="K225" s="301">
        <f t="shared" si="7"/>
        <v>0</v>
      </c>
      <c r="L225" s="85"/>
      <c r="M225" s="85"/>
      <c r="N225" s="33"/>
      <c r="O225" s="37"/>
    </row>
    <row r="226" spans="1:15" ht="13" hidden="1">
      <c r="A226" s="32"/>
      <c r="B226" s="30"/>
      <c r="C226" s="328"/>
      <c r="D226" s="329"/>
      <c r="E226" s="317">
        <v>0</v>
      </c>
      <c r="F226" s="330">
        <f t="shared" si="2"/>
        <v>0</v>
      </c>
      <c r="G226" s="330">
        <f t="shared" si="3"/>
        <v>0</v>
      </c>
      <c r="H226" s="301">
        <f t="shared" si="4"/>
        <v>0</v>
      </c>
      <c r="I226" s="331">
        <f t="shared" si="5"/>
        <v>0</v>
      </c>
      <c r="J226" s="301">
        <f t="shared" si="6"/>
        <v>0</v>
      </c>
      <c r="K226" s="301">
        <f t="shared" si="7"/>
        <v>0</v>
      </c>
      <c r="L226" s="85"/>
      <c r="M226" s="85"/>
      <c r="N226" s="33"/>
      <c r="O226" s="37"/>
    </row>
    <row r="227" spans="1:15" ht="13" hidden="1">
      <c r="A227" s="32"/>
      <c r="B227" s="30"/>
      <c r="C227" s="328"/>
      <c r="D227" s="329"/>
      <c r="E227" s="317">
        <v>0</v>
      </c>
      <c r="F227" s="330">
        <f t="shared" si="2"/>
        <v>0</v>
      </c>
      <c r="G227" s="330">
        <f t="shared" si="3"/>
        <v>0</v>
      </c>
      <c r="H227" s="301">
        <f t="shared" si="4"/>
        <v>0</v>
      </c>
      <c r="I227" s="331">
        <f t="shared" si="5"/>
        <v>0</v>
      </c>
      <c r="J227" s="301">
        <f t="shared" si="6"/>
        <v>0</v>
      </c>
      <c r="K227" s="301">
        <f t="shared" si="7"/>
        <v>0</v>
      </c>
      <c r="L227" s="85"/>
      <c r="M227" s="85"/>
      <c r="N227" s="33"/>
      <c r="O227" s="37"/>
    </row>
    <row r="228" spans="1:15" ht="13" hidden="1">
      <c r="A228" s="32"/>
      <c r="B228" s="30"/>
      <c r="C228" s="328"/>
      <c r="D228" s="329"/>
      <c r="E228" s="317">
        <v>0</v>
      </c>
      <c r="F228" s="330">
        <f t="shared" si="2"/>
        <v>0</v>
      </c>
      <c r="G228" s="330">
        <f t="shared" si="3"/>
        <v>0</v>
      </c>
      <c r="H228" s="301">
        <f t="shared" si="4"/>
        <v>0</v>
      </c>
      <c r="I228" s="331">
        <f t="shared" si="5"/>
        <v>0</v>
      </c>
      <c r="J228" s="301">
        <f t="shared" si="6"/>
        <v>0</v>
      </c>
      <c r="K228" s="301">
        <f t="shared" si="7"/>
        <v>0</v>
      </c>
      <c r="L228" s="85"/>
      <c r="M228" s="85"/>
      <c r="N228" s="33"/>
      <c r="O228" s="37"/>
    </row>
    <row r="229" spans="1:15" ht="13" hidden="1">
      <c r="A229" s="32"/>
      <c r="B229" s="30"/>
      <c r="C229" s="328"/>
      <c r="D229" s="329"/>
      <c r="E229" s="317">
        <v>0</v>
      </c>
      <c r="F229" s="330">
        <f t="shared" si="2"/>
        <v>0</v>
      </c>
      <c r="G229" s="330">
        <f t="shared" si="3"/>
        <v>0</v>
      </c>
      <c r="H229" s="301">
        <f t="shared" si="4"/>
        <v>0</v>
      </c>
      <c r="I229" s="331">
        <f t="shared" si="5"/>
        <v>0</v>
      </c>
      <c r="J229" s="301">
        <f t="shared" si="6"/>
        <v>0</v>
      </c>
      <c r="K229" s="301">
        <f t="shared" si="7"/>
        <v>0</v>
      </c>
      <c r="L229" s="85"/>
      <c r="M229" s="85"/>
      <c r="N229" s="33"/>
      <c r="O229" s="37"/>
    </row>
    <row r="230" spans="1:15" ht="13" hidden="1">
      <c r="A230" s="32"/>
      <c r="B230" s="30"/>
      <c r="C230" s="328"/>
      <c r="D230" s="329"/>
      <c r="E230" s="317">
        <v>0</v>
      </c>
      <c r="F230" s="330">
        <f t="shared" si="2"/>
        <v>0</v>
      </c>
      <c r="G230" s="330">
        <f t="shared" si="3"/>
        <v>0</v>
      </c>
      <c r="H230" s="301">
        <f t="shared" si="4"/>
        <v>0</v>
      </c>
      <c r="I230" s="331">
        <f t="shared" si="5"/>
        <v>0</v>
      </c>
      <c r="J230" s="301">
        <f t="shared" si="6"/>
        <v>0</v>
      </c>
      <c r="K230" s="301">
        <f t="shared" si="7"/>
        <v>0</v>
      </c>
      <c r="L230" s="85"/>
      <c r="M230" s="85"/>
      <c r="N230" s="33"/>
      <c r="O230" s="37"/>
    </row>
    <row r="231" spans="1:15" ht="13" hidden="1">
      <c r="A231" s="32"/>
      <c r="B231" s="30"/>
      <c r="C231" s="328"/>
      <c r="D231" s="329"/>
      <c r="E231" s="317">
        <v>0</v>
      </c>
      <c r="F231" s="330">
        <f t="shared" si="2"/>
        <v>0</v>
      </c>
      <c r="G231" s="330">
        <f t="shared" si="3"/>
        <v>0</v>
      </c>
      <c r="H231" s="301">
        <f t="shared" si="4"/>
        <v>0</v>
      </c>
      <c r="I231" s="331">
        <f t="shared" si="5"/>
        <v>0</v>
      </c>
      <c r="J231" s="301">
        <f t="shared" si="6"/>
        <v>0</v>
      </c>
      <c r="K231" s="301">
        <f t="shared" si="7"/>
        <v>0</v>
      </c>
      <c r="L231" s="85"/>
      <c r="M231" s="85"/>
      <c r="N231" s="33"/>
      <c r="O231" s="37"/>
    </row>
    <row r="232" spans="1:15" ht="13" hidden="1">
      <c r="A232" s="32"/>
      <c r="B232" s="30"/>
      <c r="C232" s="328"/>
      <c r="D232" s="329"/>
      <c r="E232" s="317">
        <v>0</v>
      </c>
      <c r="F232" s="330">
        <f t="shared" si="2"/>
        <v>0</v>
      </c>
      <c r="G232" s="330">
        <f t="shared" si="3"/>
        <v>0</v>
      </c>
      <c r="H232" s="301">
        <f t="shared" si="4"/>
        <v>0</v>
      </c>
      <c r="I232" s="331">
        <f t="shared" si="5"/>
        <v>0</v>
      </c>
      <c r="J232" s="301">
        <f t="shared" si="6"/>
        <v>0</v>
      </c>
      <c r="K232" s="301">
        <f t="shared" si="7"/>
        <v>0</v>
      </c>
      <c r="L232" s="85"/>
      <c r="M232" s="85"/>
      <c r="N232" s="33"/>
      <c r="O232" s="37"/>
    </row>
    <row r="233" spans="1:15" ht="13" hidden="1">
      <c r="A233" s="32"/>
      <c r="B233" s="30"/>
      <c r="C233" s="328"/>
      <c r="D233" s="329"/>
      <c r="E233" s="317">
        <v>0</v>
      </c>
      <c r="F233" s="330">
        <f t="shared" si="2"/>
        <v>0</v>
      </c>
      <c r="G233" s="330">
        <f t="shared" si="3"/>
        <v>0</v>
      </c>
      <c r="H233" s="301">
        <f t="shared" si="4"/>
        <v>0</v>
      </c>
      <c r="I233" s="331">
        <f t="shared" si="5"/>
        <v>0</v>
      </c>
      <c r="J233" s="301">
        <f t="shared" si="6"/>
        <v>0</v>
      </c>
      <c r="K233" s="301">
        <f t="shared" si="7"/>
        <v>0</v>
      </c>
      <c r="L233" s="85"/>
      <c r="M233" s="85"/>
      <c r="N233" s="33"/>
      <c r="O233" s="37"/>
    </row>
    <row r="234" spans="1:15" ht="13" hidden="1">
      <c r="A234" s="32"/>
      <c r="B234" s="30"/>
      <c r="C234" s="328"/>
      <c r="D234" s="329"/>
      <c r="E234" s="317">
        <v>0</v>
      </c>
      <c r="F234" s="330">
        <f t="shared" si="2"/>
        <v>0</v>
      </c>
      <c r="G234" s="330">
        <f t="shared" si="3"/>
        <v>0</v>
      </c>
      <c r="H234" s="301">
        <f t="shared" si="4"/>
        <v>0</v>
      </c>
      <c r="I234" s="331">
        <f t="shared" si="5"/>
        <v>0</v>
      </c>
      <c r="J234" s="301">
        <f t="shared" si="6"/>
        <v>0</v>
      </c>
      <c r="K234" s="301">
        <f t="shared" si="7"/>
        <v>0</v>
      </c>
      <c r="L234" s="85"/>
      <c r="M234" s="85"/>
      <c r="N234" s="33"/>
      <c r="O234" s="37"/>
    </row>
    <row r="235" spans="1:15" ht="13" hidden="1">
      <c r="A235" s="32"/>
      <c r="B235" s="30"/>
      <c r="C235" s="328"/>
      <c r="D235" s="329"/>
      <c r="E235" s="317">
        <v>0</v>
      </c>
      <c r="F235" s="330">
        <f t="shared" si="2"/>
        <v>0</v>
      </c>
      <c r="G235" s="330">
        <f t="shared" si="3"/>
        <v>0</v>
      </c>
      <c r="H235" s="301">
        <f t="shared" si="4"/>
        <v>0</v>
      </c>
      <c r="I235" s="331">
        <f t="shared" si="5"/>
        <v>0</v>
      </c>
      <c r="J235" s="301">
        <f t="shared" si="6"/>
        <v>0</v>
      </c>
      <c r="K235" s="301">
        <f t="shared" si="7"/>
        <v>0</v>
      </c>
      <c r="L235" s="85"/>
      <c r="M235" s="85"/>
      <c r="N235" s="33"/>
      <c r="O235" s="37"/>
    </row>
    <row r="236" spans="1:15" ht="13" hidden="1">
      <c r="A236" s="32"/>
      <c r="B236" s="30"/>
      <c r="C236" s="328"/>
      <c r="D236" s="329"/>
      <c r="E236" s="317">
        <v>0</v>
      </c>
      <c r="F236" s="330">
        <f t="shared" si="2"/>
        <v>0</v>
      </c>
      <c r="G236" s="330">
        <f t="shared" si="3"/>
        <v>0</v>
      </c>
      <c r="H236" s="301">
        <f t="shared" si="4"/>
        <v>0</v>
      </c>
      <c r="I236" s="331">
        <f t="shared" si="5"/>
        <v>0</v>
      </c>
      <c r="J236" s="301">
        <f t="shared" si="6"/>
        <v>0</v>
      </c>
      <c r="K236" s="301">
        <f t="shared" si="7"/>
        <v>0</v>
      </c>
      <c r="L236" s="85"/>
      <c r="M236" s="85"/>
      <c r="N236" s="33"/>
      <c r="O236" s="37"/>
    </row>
    <row r="237" spans="1:15" ht="13" hidden="1">
      <c r="A237" s="32"/>
      <c r="B237" s="30"/>
      <c r="C237" s="328"/>
      <c r="D237" s="329"/>
      <c r="E237" s="317">
        <v>0</v>
      </c>
      <c r="F237" s="330">
        <f t="shared" si="2"/>
        <v>0</v>
      </c>
      <c r="G237" s="330">
        <f t="shared" si="3"/>
        <v>0</v>
      </c>
      <c r="H237" s="301">
        <f t="shared" si="4"/>
        <v>0</v>
      </c>
      <c r="I237" s="331">
        <f t="shared" si="5"/>
        <v>0</v>
      </c>
      <c r="J237" s="301">
        <f t="shared" si="6"/>
        <v>0</v>
      </c>
      <c r="K237" s="301">
        <f t="shared" si="7"/>
        <v>0</v>
      </c>
      <c r="L237" s="85"/>
      <c r="M237" s="85"/>
      <c r="N237" s="33"/>
      <c r="O237" s="37"/>
    </row>
    <row r="238" spans="1:15" ht="13" hidden="1">
      <c r="A238" s="32"/>
      <c r="B238" s="30"/>
      <c r="C238" s="328"/>
      <c r="D238" s="329"/>
      <c r="E238" s="317">
        <v>0</v>
      </c>
      <c r="F238" s="330">
        <f t="shared" si="2"/>
        <v>0</v>
      </c>
      <c r="G238" s="330">
        <f t="shared" si="3"/>
        <v>0</v>
      </c>
      <c r="H238" s="301">
        <f t="shared" si="4"/>
        <v>0</v>
      </c>
      <c r="I238" s="331">
        <f t="shared" si="5"/>
        <v>0</v>
      </c>
      <c r="J238" s="301">
        <f t="shared" si="6"/>
        <v>0</v>
      </c>
      <c r="K238" s="301">
        <f t="shared" si="7"/>
        <v>0</v>
      </c>
      <c r="L238" s="85"/>
      <c r="M238" s="85"/>
      <c r="N238" s="33"/>
      <c r="O238" s="37"/>
    </row>
    <row r="239" spans="1:15" ht="13" hidden="1">
      <c r="A239" s="32"/>
      <c r="B239" s="30"/>
      <c r="C239" s="328"/>
      <c r="D239" s="329"/>
      <c r="E239" s="317">
        <v>0</v>
      </c>
      <c r="F239" s="330">
        <f t="shared" si="2"/>
        <v>0</v>
      </c>
      <c r="G239" s="330">
        <f t="shared" si="3"/>
        <v>0</v>
      </c>
      <c r="H239" s="301">
        <f t="shared" si="4"/>
        <v>0</v>
      </c>
      <c r="I239" s="331">
        <f t="shared" si="5"/>
        <v>0</v>
      </c>
      <c r="J239" s="301">
        <f t="shared" si="6"/>
        <v>0</v>
      </c>
      <c r="K239" s="301">
        <f t="shared" si="7"/>
        <v>0</v>
      </c>
      <c r="L239" s="85"/>
      <c r="M239" s="85"/>
      <c r="N239" s="33"/>
      <c r="O239" s="37"/>
    </row>
    <row r="240" spans="1:15" ht="13" hidden="1">
      <c r="A240" s="32"/>
      <c r="B240" s="30"/>
      <c r="C240" s="328"/>
      <c r="D240" s="329"/>
      <c r="E240" s="317">
        <v>0</v>
      </c>
      <c r="F240" s="330">
        <f t="shared" si="2"/>
        <v>0</v>
      </c>
      <c r="G240" s="330">
        <f t="shared" si="3"/>
        <v>0</v>
      </c>
      <c r="H240" s="301">
        <f t="shared" si="4"/>
        <v>0</v>
      </c>
      <c r="I240" s="331">
        <f t="shared" si="5"/>
        <v>0</v>
      </c>
      <c r="J240" s="301">
        <f t="shared" si="6"/>
        <v>0</v>
      </c>
      <c r="K240" s="301">
        <f t="shared" si="7"/>
        <v>0</v>
      </c>
      <c r="L240" s="85"/>
      <c r="M240" s="85"/>
      <c r="N240" s="33"/>
      <c r="O240" s="37"/>
    </row>
    <row r="241" spans="1:15" ht="12.75" hidden="1" customHeight="1">
      <c r="A241" s="32"/>
      <c r="B241" s="30"/>
      <c r="C241" s="328"/>
      <c r="D241" s="329"/>
      <c r="E241" s="317">
        <v>0</v>
      </c>
      <c r="F241" s="330">
        <f t="shared" si="2"/>
        <v>0</v>
      </c>
      <c r="G241" s="330">
        <f t="shared" si="3"/>
        <v>0</v>
      </c>
      <c r="H241" s="301">
        <f t="shared" si="4"/>
        <v>0</v>
      </c>
      <c r="I241" s="331">
        <f t="shared" si="5"/>
        <v>0</v>
      </c>
      <c r="J241" s="301">
        <f t="shared" si="6"/>
        <v>0</v>
      </c>
      <c r="K241" s="301">
        <f t="shared" si="7"/>
        <v>0</v>
      </c>
      <c r="L241" s="85"/>
      <c r="M241" s="85"/>
      <c r="N241" s="33"/>
      <c r="O241" s="37"/>
    </row>
    <row r="242" spans="1:15" ht="13" hidden="1">
      <c r="A242" s="32"/>
      <c r="B242" s="30"/>
      <c r="C242" s="328"/>
      <c r="D242" s="329"/>
      <c r="E242" s="317">
        <v>0</v>
      </c>
      <c r="F242" s="330">
        <f t="shared" si="2"/>
        <v>0</v>
      </c>
      <c r="G242" s="330">
        <f t="shared" si="3"/>
        <v>0</v>
      </c>
      <c r="H242" s="301">
        <f t="shared" si="4"/>
        <v>0</v>
      </c>
      <c r="I242" s="331">
        <f t="shared" si="5"/>
        <v>0</v>
      </c>
      <c r="J242" s="301">
        <f t="shared" si="6"/>
        <v>0</v>
      </c>
      <c r="K242" s="301">
        <f t="shared" si="7"/>
        <v>0</v>
      </c>
      <c r="L242" s="85"/>
      <c r="M242" s="85"/>
      <c r="N242" s="33"/>
      <c r="O242" s="37"/>
    </row>
    <row r="243" spans="1:15" ht="13" hidden="1">
      <c r="A243" s="32"/>
      <c r="B243" s="30"/>
      <c r="C243" s="328"/>
      <c r="D243" s="329"/>
      <c r="E243" s="317">
        <v>0</v>
      </c>
      <c r="F243" s="330">
        <f t="shared" si="2"/>
        <v>0</v>
      </c>
      <c r="G243" s="330">
        <f t="shared" si="3"/>
        <v>0</v>
      </c>
      <c r="H243" s="301">
        <f t="shared" si="4"/>
        <v>0</v>
      </c>
      <c r="I243" s="331">
        <f t="shared" si="5"/>
        <v>0</v>
      </c>
      <c r="J243" s="301">
        <f t="shared" si="6"/>
        <v>0</v>
      </c>
      <c r="K243" s="301">
        <f t="shared" si="7"/>
        <v>0</v>
      </c>
      <c r="L243" s="85"/>
      <c r="M243" s="85"/>
      <c r="N243" s="33"/>
      <c r="O243" s="37"/>
    </row>
    <row r="244" spans="1:15" ht="13" hidden="1">
      <c r="A244" s="32"/>
      <c r="B244" s="30"/>
      <c r="C244" s="328"/>
      <c r="D244" s="329"/>
      <c r="E244" s="317">
        <v>0</v>
      </c>
      <c r="F244" s="330">
        <f t="shared" si="2"/>
        <v>0</v>
      </c>
      <c r="G244" s="330">
        <f t="shared" si="3"/>
        <v>0</v>
      </c>
      <c r="H244" s="301">
        <f t="shared" si="4"/>
        <v>0</v>
      </c>
      <c r="I244" s="331">
        <f t="shared" si="5"/>
        <v>0</v>
      </c>
      <c r="J244" s="301">
        <f t="shared" si="6"/>
        <v>0</v>
      </c>
      <c r="K244" s="301">
        <f t="shared" si="7"/>
        <v>0</v>
      </c>
      <c r="L244" s="85"/>
      <c r="M244" s="85"/>
      <c r="N244" s="33"/>
      <c r="O244" s="37"/>
    </row>
    <row r="245" spans="1:15" ht="13" hidden="1">
      <c r="A245" s="32"/>
      <c r="B245" s="30"/>
      <c r="C245" s="328"/>
      <c r="D245" s="329"/>
      <c r="E245" s="317">
        <v>0</v>
      </c>
      <c r="F245" s="330">
        <f t="shared" si="2"/>
        <v>0</v>
      </c>
      <c r="G245" s="330">
        <f t="shared" si="3"/>
        <v>0</v>
      </c>
      <c r="H245" s="301">
        <f t="shared" si="4"/>
        <v>0</v>
      </c>
      <c r="I245" s="331">
        <f t="shared" si="5"/>
        <v>0</v>
      </c>
      <c r="J245" s="301">
        <f t="shared" si="6"/>
        <v>0</v>
      </c>
      <c r="K245" s="301">
        <f t="shared" si="7"/>
        <v>0</v>
      </c>
      <c r="L245" s="85"/>
      <c r="M245" s="85"/>
      <c r="N245" s="33"/>
      <c r="O245" s="37"/>
    </row>
    <row r="246" spans="1:15" ht="13" hidden="1">
      <c r="A246" s="32"/>
      <c r="B246" s="30"/>
      <c r="C246" s="328"/>
      <c r="D246" s="329"/>
      <c r="E246" s="317">
        <v>0</v>
      </c>
      <c r="F246" s="330">
        <f t="shared" si="2"/>
        <v>0</v>
      </c>
      <c r="G246" s="330">
        <f t="shared" si="3"/>
        <v>0</v>
      </c>
      <c r="H246" s="301">
        <f t="shared" si="4"/>
        <v>0</v>
      </c>
      <c r="I246" s="331">
        <f t="shared" si="5"/>
        <v>0</v>
      </c>
      <c r="J246" s="301">
        <f t="shared" si="6"/>
        <v>0</v>
      </c>
      <c r="K246" s="301">
        <f t="shared" si="7"/>
        <v>0</v>
      </c>
      <c r="L246" s="85"/>
      <c r="M246" s="85"/>
      <c r="N246" s="33"/>
      <c r="O246" s="37"/>
    </row>
    <row r="247" spans="1:15" ht="13" hidden="1">
      <c r="A247" s="32"/>
      <c r="B247" s="30"/>
      <c r="C247" s="328"/>
      <c r="D247" s="329"/>
      <c r="E247" s="317">
        <v>0</v>
      </c>
      <c r="F247" s="330">
        <f t="shared" si="2"/>
        <v>0</v>
      </c>
      <c r="G247" s="330">
        <f t="shared" si="3"/>
        <v>0</v>
      </c>
      <c r="H247" s="301">
        <f t="shared" si="4"/>
        <v>0</v>
      </c>
      <c r="I247" s="331">
        <f t="shared" si="5"/>
        <v>0</v>
      </c>
      <c r="J247" s="301">
        <f t="shared" si="6"/>
        <v>0</v>
      </c>
      <c r="K247" s="301">
        <f t="shared" si="7"/>
        <v>0</v>
      </c>
      <c r="L247" s="85"/>
      <c r="M247" s="85"/>
      <c r="N247" s="33"/>
      <c r="O247" s="37"/>
    </row>
    <row r="248" spans="1:15" ht="13" hidden="1">
      <c r="A248" s="32"/>
      <c r="B248" s="30"/>
      <c r="C248" s="328"/>
      <c r="D248" s="329"/>
      <c r="E248" s="317">
        <v>0</v>
      </c>
      <c r="F248" s="330">
        <f t="shared" si="2"/>
        <v>0</v>
      </c>
      <c r="G248" s="330">
        <f t="shared" si="3"/>
        <v>0</v>
      </c>
      <c r="H248" s="301">
        <f t="shared" si="4"/>
        <v>0</v>
      </c>
      <c r="I248" s="331">
        <f t="shared" si="5"/>
        <v>0</v>
      </c>
      <c r="J248" s="301">
        <f t="shared" si="6"/>
        <v>0</v>
      </c>
      <c r="K248" s="301">
        <f t="shared" si="7"/>
        <v>0</v>
      </c>
      <c r="L248" s="85"/>
      <c r="M248" s="85"/>
      <c r="N248" s="33"/>
      <c r="O248" s="37"/>
    </row>
    <row r="249" spans="1:15" ht="13">
      <c r="A249" s="32"/>
      <c r="B249" s="30"/>
      <c r="C249" s="10"/>
      <c r="D249" s="33"/>
      <c r="E249" s="33"/>
      <c r="F249" s="33"/>
      <c r="G249" s="259"/>
      <c r="H249" s="259"/>
      <c r="I249" s="33"/>
      <c r="J249" s="85"/>
      <c r="K249" s="301">
        <f>SUM(K199:K248)</f>
        <v>0</v>
      </c>
      <c r="L249" s="85"/>
      <c r="M249" s="85"/>
      <c r="N249" s="33"/>
      <c r="O249" s="37"/>
    </row>
    <row r="250" spans="1:15" ht="13">
      <c r="A250" s="32"/>
      <c r="B250" s="30"/>
      <c r="C250" s="10"/>
      <c r="D250" s="33"/>
      <c r="E250" s="33"/>
      <c r="F250" s="33"/>
      <c r="G250" s="259"/>
      <c r="H250" s="259"/>
      <c r="I250" s="33"/>
      <c r="J250" s="85"/>
      <c r="K250" s="33"/>
      <c r="L250" s="85"/>
      <c r="M250" s="85"/>
      <c r="N250" s="33"/>
      <c r="O250" s="37"/>
    </row>
    <row r="251" spans="1:15" ht="17.5">
      <c r="A251" s="32"/>
      <c r="B251" s="30" t="s">
        <v>274</v>
      </c>
      <c r="C251" s="30" t="s">
        <v>275</v>
      </c>
      <c r="D251" s="33"/>
      <c r="E251" s="33"/>
      <c r="F251" s="33"/>
      <c r="G251" s="73"/>
      <c r="H251" s="65" t="s">
        <v>276</v>
      </c>
      <c r="I251" s="50">
        <f>SQRT(K249)</f>
        <v>0</v>
      </c>
      <c r="J251" s="85"/>
      <c r="K251" s="33"/>
      <c r="L251" s="85"/>
      <c r="M251" s="85"/>
      <c r="N251" s="33"/>
      <c r="O251" s="37"/>
    </row>
    <row r="252" spans="1:15" ht="13">
      <c r="A252" s="32"/>
      <c r="B252" s="30"/>
      <c r="C252" s="10"/>
      <c r="D252" s="33"/>
      <c r="E252" s="33"/>
      <c r="F252" s="33"/>
      <c r="G252" s="259"/>
      <c r="H252" s="259"/>
      <c r="I252" s="33"/>
      <c r="J252" s="85"/>
      <c r="K252" s="33"/>
      <c r="L252" s="85"/>
      <c r="M252" s="85"/>
      <c r="N252" s="33"/>
      <c r="O252" s="37"/>
    </row>
    <row r="253" spans="1:15" ht="13">
      <c r="A253" s="32"/>
      <c r="B253" s="200"/>
      <c r="C253" s="10"/>
      <c r="D253" s="33"/>
      <c r="E253" s="33"/>
      <c r="F253" s="33"/>
      <c r="G253" s="259"/>
      <c r="H253" s="259"/>
      <c r="I253" s="33"/>
      <c r="J253" s="85"/>
      <c r="K253" s="33"/>
      <c r="L253" s="85"/>
      <c r="M253" s="85"/>
      <c r="N253" s="33"/>
      <c r="O253" s="37"/>
    </row>
    <row r="254" spans="1:15" ht="15.5">
      <c r="A254" s="32"/>
      <c r="B254" s="23" t="s">
        <v>277</v>
      </c>
      <c r="C254" s="184"/>
      <c r="D254" s="184"/>
      <c r="E254" s="184"/>
      <c r="F254" s="184"/>
      <c r="G254" s="184"/>
      <c r="H254" s="260"/>
      <c r="I254" s="184"/>
      <c r="J254" s="98"/>
      <c r="K254" s="33"/>
      <c r="L254" s="85"/>
      <c r="M254" s="85"/>
      <c r="N254" s="33"/>
      <c r="O254" s="37"/>
    </row>
    <row r="255" spans="1:15" ht="13">
      <c r="A255" s="32"/>
      <c r="B255" s="30"/>
      <c r="C255" s="33"/>
      <c r="D255" s="33"/>
      <c r="E255" s="33"/>
      <c r="F255" s="33"/>
      <c r="G255" s="33"/>
      <c r="H255" s="259"/>
      <c r="I255" s="33"/>
      <c r="J255" s="85"/>
      <c r="K255" s="33"/>
      <c r="L255" s="85"/>
      <c r="M255" s="85"/>
      <c r="N255" s="33"/>
      <c r="O255" s="37"/>
    </row>
    <row r="256" spans="1:15" ht="13">
      <c r="A256" s="32"/>
      <c r="B256" s="30" t="s">
        <v>278</v>
      </c>
      <c r="C256" s="30" t="s">
        <v>279</v>
      </c>
      <c r="D256" s="33"/>
      <c r="E256" s="33"/>
      <c r="F256" s="33"/>
      <c r="G256" s="33"/>
      <c r="H256" s="259"/>
      <c r="I256" s="33"/>
      <c r="J256" s="85"/>
      <c r="K256" s="33"/>
      <c r="L256" s="85"/>
      <c r="M256" s="85"/>
      <c r="N256" s="33"/>
      <c r="O256" s="37"/>
    </row>
    <row r="257" spans="1:15" ht="15.5">
      <c r="A257" s="32"/>
      <c r="B257" s="27"/>
      <c r="C257" s="78" t="s">
        <v>19</v>
      </c>
      <c r="D257" s="36" t="s">
        <v>280</v>
      </c>
      <c r="E257" s="36" t="s">
        <v>281</v>
      </c>
      <c r="F257" s="36" t="s">
        <v>282</v>
      </c>
      <c r="G257" s="99" t="s">
        <v>283</v>
      </c>
      <c r="H257" s="36" t="s">
        <v>284</v>
      </c>
      <c r="I257" s="35" t="s">
        <v>285</v>
      </c>
      <c r="J257" s="10" t="s">
        <v>286</v>
      </c>
      <c r="K257" s="85"/>
      <c r="L257" s="33"/>
      <c r="M257" s="85"/>
      <c r="N257" s="33"/>
      <c r="O257" s="37"/>
    </row>
    <row r="258" spans="1:15" ht="15.5">
      <c r="A258" s="32"/>
      <c r="B258" s="27"/>
      <c r="C258" s="100" t="s">
        <v>280</v>
      </c>
      <c r="D258" s="101">
        <v>1</v>
      </c>
      <c r="E258" s="102">
        <v>0.5</v>
      </c>
      <c r="F258" s="102">
        <v>0.5</v>
      </c>
      <c r="G258" s="79">
        <v>0.25</v>
      </c>
      <c r="H258" s="41">
        <v>0.5</v>
      </c>
      <c r="I258" s="41">
        <v>0</v>
      </c>
      <c r="J258" s="31">
        <f>I115</f>
        <v>0</v>
      </c>
      <c r="K258" s="85"/>
      <c r="L258" s="33"/>
      <c r="M258" s="85"/>
      <c r="N258" s="33"/>
      <c r="O258" s="37"/>
    </row>
    <row r="259" spans="1:15" ht="15.5">
      <c r="A259" s="32"/>
      <c r="B259" s="27"/>
      <c r="C259" s="103" t="s">
        <v>281</v>
      </c>
      <c r="D259" s="102">
        <v>0.5</v>
      </c>
      <c r="E259" s="101">
        <v>1</v>
      </c>
      <c r="F259" s="102">
        <v>0.75</v>
      </c>
      <c r="G259" s="79">
        <v>0.25</v>
      </c>
      <c r="H259" s="41">
        <v>0.75</v>
      </c>
      <c r="I259" s="41">
        <v>0</v>
      </c>
      <c r="J259" s="31">
        <f>I145</f>
        <v>0</v>
      </c>
      <c r="K259" s="85"/>
      <c r="L259" s="33"/>
      <c r="M259" s="85"/>
      <c r="N259" s="33"/>
      <c r="O259" s="37"/>
    </row>
    <row r="260" spans="1:15" ht="15.5">
      <c r="A260" s="32"/>
      <c r="B260" s="27"/>
      <c r="C260" s="103" t="s">
        <v>282</v>
      </c>
      <c r="D260" s="102">
        <v>0.5</v>
      </c>
      <c r="E260" s="102">
        <v>0.75</v>
      </c>
      <c r="F260" s="101">
        <v>1</v>
      </c>
      <c r="G260" s="79">
        <v>0.25</v>
      </c>
      <c r="H260" s="41">
        <v>0.5</v>
      </c>
      <c r="I260" s="41">
        <v>0</v>
      </c>
      <c r="J260" s="31">
        <f>I155</f>
        <v>0</v>
      </c>
      <c r="K260" s="85"/>
      <c r="L260" s="33"/>
      <c r="M260" s="85"/>
      <c r="N260" s="33"/>
      <c r="O260" s="37"/>
    </row>
    <row r="261" spans="1:15" ht="15.5">
      <c r="A261" s="32"/>
      <c r="B261" s="27"/>
      <c r="C261" s="103" t="s">
        <v>283</v>
      </c>
      <c r="D261" s="102">
        <v>0.25</v>
      </c>
      <c r="E261" s="102">
        <v>0.25</v>
      </c>
      <c r="F261" s="102">
        <v>0.25</v>
      </c>
      <c r="G261" s="104">
        <v>1</v>
      </c>
      <c r="H261" s="41">
        <v>0.25</v>
      </c>
      <c r="I261" s="41">
        <v>0</v>
      </c>
      <c r="J261" s="261">
        <f>I165</f>
        <v>0</v>
      </c>
      <c r="K261" s="85"/>
      <c r="L261" s="33"/>
      <c r="M261" s="85"/>
      <c r="N261" s="33"/>
      <c r="O261" s="37"/>
    </row>
    <row r="262" spans="1:15" ht="15.5">
      <c r="A262" s="32"/>
      <c r="B262" s="27"/>
      <c r="C262" s="103" t="s">
        <v>284</v>
      </c>
      <c r="D262" s="102">
        <v>0.5</v>
      </c>
      <c r="E262" s="102">
        <v>0.75</v>
      </c>
      <c r="F262" s="102">
        <v>0.5</v>
      </c>
      <c r="G262" s="79">
        <v>0.25</v>
      </c>
      <c r="H262" s="40">
        <v>1</v>
      </c>
      <c r="I262" s="41">
        <v>0</v>
      </c>
      <c r="J262" s="261">
        <f>I188</f>
        <v>0</v>
      </c>
      <c r="K262" s="85"/>
      <c r="L262" s="33"/>
      <c r="M262" s="85"/>
      <c r="N262" s="33"/>
      <c r="O262" s="37"/>
    </row>
    <row r="263" spans="1:15" ht="15.5">
      <c r="A263" s="32"/>
      <c r="B263" s="27"/>
      <c r="C263" s="105" t="s">
        <v>285</v>
      </c>
      <c r="D263" s="106">
        <v>0</v>
      </c>
      <c r="E263" s="106">
        <v>0</v>
      </c>
      <c r="F263" s="106">
        <v>0</v>
      </c>
      <c r="G263" s="107">
        <v>0</v>
      </c>
      <c r="H263" s="44">
        <v>0</v>
      </c>
      <c r="I263" s="45">
        <v>1</v>
      </c>
      <c r="J263" s="332">
        <f>I251</f>
        <v>0</v>
      </c>
      <c r="K263" s="85"/>
      <c r="L263" s="33"/>
      <c r="M263" s="85"/>
      <c r="N263" s="33"/>
      <c r="O263" s="37"/>
    </row>
    <row r="264" spans="1:15" ht="15.5">
      <c r="A264" s="32"/>
      <c r="B264" s="27"/>
      <c r="C264" s="10" t="s">
        <v>287</v>
      </c>
      <c r="D264" s="108">
        <f>I115</f>
        <v>0</v>
      </c>
      <c r="E264" s="108">
        <f>I145</f>
        <v>0</v>
      </c>
      <c r="F264" s="108">
        <f>I155</f>
        <v>0</v>
      </c>
      <c r="G264" s="333">
        <f>I165</f>
        <v>0</v>
      </c>
      <c r="H264" s="333">
        <f>I188</f>
        <v>0</v>
      </c>
      <c r="I264" s="333">
        <f>I251</f>
        <v>0</v>
      </c>
      <c r="J264" s="33"/>
      <c r="K264" s="85"/>
      <c r="L264" s="33"/>
      <c r="M264" s="85"/>
      <c r="N264" s="33"/>
      <c r="O264" s="37"/>
    </row>
    <row r="265" spans="1:15" ht="15" customHeight="1">
      <c r="A265" s="32"/>
      <c r="B265" s="30"/>
      <c r="C265" s="33"/>
      <c r="D265" s="33"/>
      <c r="E265" s="33"/>
      <c r="F265" s="33"/>
      <c r="G265" s="33"/>
      <c r="H265" s="259"/>
      <c r="I265" s="33"/>
      <c r="J265" s="85"/>
      <c r="K265" s="33"/>
      <c r="L265" s="85"/>
      <c r="M265" s="85"/>
      <c r="N265" s="33"/>
      <c r="O265" s="37"/>
    </row>
    <row r="266" spans="1:15" ht="17.5">
      <c r="A266" s="32"/>
      <c r="B266" s="30"/>
      <c r="C266" s="30"/>
      <c r="D266" s="33"/>
      <c r="E266" s="33"/>
      <c r="F266" s="33"/>
      <c r="G266" s="33"/>
      <c r="H266" s="65" t="s">
        <v>288</v>
      </c>
      <c r="I266" s="84">
        <f>SQRT(MMULT(D264:I264,MMULT(D258:I263,J258:J263)))</f>
        <v>0</v>
      </c>
      <c r="J266" s="85"/>
      <c r="K266" s="33"/>
      <c r="L266" s="85"/>
      <c r="M266" s="85"/>
      <c r="N266" s="33"/>
      <c r="O266" s="37"/>
    </row>
    <row r="267" spans="1:15" ht="13">
      <c r="A267" s="32"/>
      <c r="B267" s="30"/>
      <c r="C267" s="30"/>
      <c r="D267" s="33"/>
      <c r="E267" s="33"/>
      <c r="F267" s="33"/>
      <c r="G267" s="33"/>
      <c r="H267" s="259"/>
      <c r="I267" s="85"/>
      <c r="J267" s="85"/>
      <c r="K267" s="33"/>
      <c r="L267" s="85"/>
      <c r="M267" s="85"/>
      <c r="N267" s="33"/>
      <c r="O267" s="37"/>
    </row>
    <row r="268" spans="1:15" ht="13">
      <c r="A268" s="32"/>
      <c r="B268" s="30"/>
      <c r="C268" s="30"/>
      <c r="D268" s="33"/>
      <c r="E268" s="33"/>
      <c r="F268" s="33"/>
      <c r="G268" s="33"/>
      <c r="H268" s="259"/>
      <c r="I268" s="85"/>
      <c r="J268" s="85"/>
      <c r="K268" s="33"/>
      <c r="L268" s="85"/>
      <c r="M268" s="85"/>
      <c r="N268" s="33"/>
      <c r="O268" s="37"/>
    </row>
    <row r="269" spans="1:15" ht="13">
      <c r="A269" s="32"/>
      <c r="B269" s="30" t="s">
        <v>289</v>
      </c>
      <c r="C269" s="30" t="s">
        <v>290</v>
      </c>
      <c r="D269" s="33"/>
      <c r="E269" s="33"/>
      <c r="F269" s="33"/>
      <c r="G269" s="33"/>
      <c r="H269" s="259"/>
      <c r="I269" s="33"/>
      <c r="J269" s="85"/>
      <c r="K269" s="33"/>
      <c r="L269" s="85"/>
      <c r="M269" s="85"/>
      <c r="N269" s="33"/>
      <c r="O269" s="37"/>
    </row>
    <row r="270" spans="1:15" ht="15.5">
      <c r="A270" s="32"/>
      <c r="B270" s="27"/>
      <c r="C270" s="78" t="s">
        <v>19</v>
      </c>
      <c r="D270" s="36" t="s">
        <v>280</v>
      </c>
      <c r="E270" s="36" t="s">
        <v>281</v>
      </c>
      <c r="F270" s="36" t="s">
        <v>282</v>
      </c>
      <c r="G270" s="99" t="s">
        <v>283</v>
      </c>
      <c r="H270" s="36" t="s">
        <v>284</v>
      </c>
      <c r="I270" s="35" t="s">
        <v>285</v>
      </c>
      <c r="J270" s="10" t="s">
        <v>286</v>
      </c>
      <c r="K270" s="85"/>
      <c r="L270" s="85"/>
      <c r="M270" s="85"/>
      <c r="N270" s="33"/>
      <c r="O270" s="37"/>
    </row>
    <row r="271" spans="1:15" ht="15.5">
      <c r="A271" s="32"/>
      <c r="B271" s="27"/>
      <c r="C271" s="100" t="s">
        <v>280</v>
      </c>
      <c r="D271" s="101">
        <v>1</v>
      </c>
      <c r="E271" s="102">
        <v>0</v>
      </c>
      <c r="F271" s="102">
        <v>0</v>
      </c>
      <c r="G271" s="79">
        <v>0.25</v>
      </c>
      <c r="H271" s="41">
        <v>0</v>
      </c>
      <c r="I271" s="41">
        <v>0</v>
      </c>
      <c r="J271" s="31">
        <f>I113</f>
        <v>0</v>
      </c>
      <c r="K271" s="85"/>
      <c r="L271" s="85"/>
      <c r="M271" s="85"/>
      <c r="N271" s="33"/>
      <c r="O271" s="37"/>
    </row>
    <row r="272" spans="1:15" ht="15.5">
      <c r="A272" s="32"/>
      <c r="B272" s="27"/>
      <c r="C272" s="103" t="s">
        <v>281</v>
      </c>
      <c r="D272" s="102">
        <v>0</v>
      </c>
      <c r="E272" s="101">
        <v>1</v>
      </c>
      <c r="F272" s="102">
        <v>0.75</v>
      </c>
      <c r="G272" s="79">
        <v>0.25</v>
      </c>
      <c r="H272" s="41">
        <v>0.75</v>
      </c>
      <c r="I272" s="41">
        <v>0</v>
      </c>
      <c r="J272" s="31">
        <f>I145</f>
        <v>0</v>
      </c>
      <c r="K272" s="85"/>
      <c r="L272" s="85"/>
      <c r="M272" s="85"/>
      <c r="N272" s="33"/>
      <c r="O272" s="37"/>
    </row>
    <row r="273" spans="1:15" ht="15.5">
      <c r="A273" s="32"/>
      <c r="B273" s="27"/>
      <c r="C273" s="103" t="s">
        <v>282</v>
      </c>
      <c r="D273" s="102">
        <v>0</v>
      </c>
      <c r="E273" s="102">
        <v>0.75</v>
      </c>
      <c r="F273" s="101">
        <v>1</v>
      </c>
      <c r="G273" s="79">
        <v>0.25</v>
      </c>
      <c r="H273" s="41">
        <v>0.5</v>
      </c>
      <c r="I273" s="41">
        <v>0</v>
      </c>
      <c r="J273" s="31">
        <f>I155</f>
        <v>0</v>
      </c>
      <c r="K273" s="85"/>
      <c r="L273" s="85"/>
      <c r="M273" s="85"/>
      <c r="N273" s="33"/>
      <c r="O273" s="37"/>
    </row>
    <row r="274" spans="1:15" ht="15.5">
      <c r="A274" s="32"/>
      <c r="B274" s="27"/>
      <c r="C274" s="103" t="s">
        <v>283</v>
      </c>
      <c r="D274" s="102">
        <v>0.25</v>
      </c>
      <c r="E274" s="102">
        <v>0.25</v>
      </c>
      <c r="F274" s="102">
        <v>0.25</v>
      </c>
      <c r="G274" s="104">
        <v>1</v>
      </c>
      <c r="H274" s="41">
        <v>0.25</v>
      </c>
      <c r="I274" s="41">
        <v>0</v>
      </c>
      <c r="J274" s="261">
        <f>I165</f>
        <v>0</v>
      </c>
      <c r="K274" s="85"/>
      <c r="L274" s="85"/>
      <c r="M274" s="85"/>
      <c r="N274" s="33"/>
      <c r="O274" s="37"/>
    </row>
    <row r="275" spans="1:15" ht="15.5">
      <c r="A275" s="32"/>
      <c r="B275" s="27"/>
      <c r="C275" s="103" t="s">
        <v>284</v>
      </c>
      <c r="D275" s="102">
        <v>0</v>
      </c>
      <c r="E275" s="102">
        <v>0.75</v>
      </c>
      <c r="F275" s="102">
        <v>0.5</v>
      </c>
      <c r="G275" s="79">
        <v>0.25</v>
      </c>
      <c r="H275" s="40">
        <v>1</v>
      </c>
      <c r="I275" s="41">
        <v>0</v>
      </c>
      <c r="J275" s="261">
        <f>I188</f>
        <v>0</v>
      </c>
      <c r="K275" s="85"/>
      <c r="L275" s="85"/>
      <c r="M275" s="85"/>
      <c r="N275" s="33"/>
      <c r="O275" s="37"/>
    </row>
    <row r="276" spans="1:15" ht="15.5">
      <c r="A276" s="32"/>
      <c r="B276" s="27"/>
      <c r="C276" s="105" t="s">
        <v>285</v>
      </c>
      <c r="D276" s="106">
        <v>0</v>
      </c>
      <c r="E276" s="106">
        <v>0</v>
      </c>
      <c r="F276" s="106">
        <v>0</v>
      </c>
      <c r="G276" s="107">
        <v>0</v>
      </c>
      <c r="H276" s="44">
        <v>0</v>
      </c>
      <c r="I276" s="45">
        <v>1</v>
      </c>
      <c r="J276" s="332">
        <f>I251</f>
        <v>0</v>
      </c>
      <c r="K276" s="85"/>
      <c r="L276" s="85"/>
      <c r="M276" s="85"/>
      <c r="N276" s="33"/>
      <c r="O276" s="37"/>
    </row>
    <row r="277" spans="1:15" ht="15.5">
      <c r="A277" s="32"/>
      <c r="B277" s="27"/>
      <c r="C277" s="10" t="s">
        <v>287</v>
      </c>
      <c r="D277" s="109">
        <f>I113</f>
        <v>0</v>
      </c>
      <c r="E277" s="109">
        <f>I145</f>
        <v>0</v>
      </c>
      <c r="F277" s="109">
        <f>I155</f>
        <v>0</v>
      </c>
      <c r="G277" s="334">
        <f>I165</f>
        <v>0</v>
      </c>
      <c r="H277" s="334">
        <f>I188</f>
        <v>0</v>
      </c>
      <c r="I277" s="333">
        <f>I251</f>
        <v>0</v>
      </c>
      <c r="J277" s="33"/>
      <c r="K277" s="85"/>
      <c r="L277" s="85"/>
      <c r="M277" s="85"/>
      <c r="N277" s="33"/>
      <c r="O277" s="37"/>
    </row>
    <row r="278" spans="1:15" ht="13">
      <c r="A278" s="32"/>
      <c r="B278" s="30"/>
      <c r="C278" s="33"/>
      <c r="D278" s="33"/>
      <c r="E278" s="33"/>
      <c r="F278" s="33"/>
      <c r="G278" s="33"/>
      <c r="H278" s="259"/>
      <c r="I278" s="33"/>
      <c r="J278" s="85"/>
      <c r="K278" s="85"/>
      <c r="L278" s="85"/>
      <c r="M278" s="85"/>
      <c r="N278" s="33"/>
      <c r="O278" s="37"/>
    </row>
    <row r="279" spans="1:15" ht="17.5">
      <c r="A279" s="32"/>
      <c r="B279" s="30"/>
      <c r="C279" s="30"/>
      <c r="D279" s="33"/>
      <c r="E279" s="33"/>
      <c r="F279" s="33"/>
      <c r="G279" s="33"/>
      <c r="H279" s="65" t="s">
        <v>291</v>
      </c>
      <c r="I279" s="84">
        <f>SQRT(MMULT(D277:I277,MMULT(D271:I276,J271:J276)))</f>
        <v>0</v>
      </c>
      <c r="J279" s="85"/>
      <c r="K279" s="85"/>
      <c r="L279" s="33"/>
      <c r="M279" s="33"/>
      <c r="N279" s="33"/>
      <c r="O279" s="37"/>
    </row>
    <row r="280" spans="1:15" ht="13">
      <c r="A280" s="32"/>
      <c r="B280" s="30"/>
      <c r="C280" s="30"/>
      <c r="D280" s="33"/>
      <c r="E280" s="33"/>
      <c r="F280" s="33"/>
      <c r="G280" s="33"/>
      <c r="H280" s="259"/>
      <c r="I280" s="85"/>
      <c r="J280" s="33"/>
      <c r="K280" s="85"/>
      <c r="L280" s="33"/>
      <c r="M280" s="33"/>
      <c r="N280" s="33"/>
      <c r="O280" s="37"/>
    </row>
    <row r="281" spans="1:15" ht="13">
      <c r="A281" s="32"/>
      <c r="B281" s="30"/>
      <c r="C281" s="30"/>
      <c r="D281" s="33"/>
      <c r="E281" s="33"/>
      <c r="F281" s="33"/>
      <c r="G281" s="33"/>
      <c r="H281" s="259"/>
      <c r="I281" s="33"/>
      <c r="J281" s="86"/>
      <c r="K281" s="85"/>
      <c r="L281" s="86"/>
      <c r="M281" s="86"/>
      <c r="N281" s="33"/>
      <c r="O281" s="37"/>
    </row>
    <row r="282" spans="1:15" ht="17.5">
      <c r="A282" s="32"/>
      <c r="B282" s="30" t="s">
        <v>292</v>
      </c>
      <c r="C282" s="30" t="s">
        <v>10</v>
      </c>
      <c r="D282" s="33"/>
      <c r="E282" s="33"/>
      <c r="F282" s="33"/>
      <c r="G282" s="30"/>
      <c r="H282" s="65" t="s">
        <v>293</v>
      </c>
      <c r="I282" s="50">
        <f>IF(I113&gt;I115,I279,I266)</f>
        <v>0</v>
      </c>
      <c r="J282" s="33"/>
      <c r="K282" s="85"/>
      <c r="L282" s="33"/>
      <c r="M282" s="33"/>
      <c r="N282" s="33"/>
      <c r="O282" s="37"/>
    </row>
    <row r="283" spans="1:15" ht="13">
      <c r="A283" s="32"/>
      <c r="B283" s="30"/>
      <c r="C283" s="30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7"/>
    </row>
    <row r="284" spans="1:15" ht="13">
      <c r="A284" s="110"/>
      <c r="B284" s="111"/>
      <c r="C284" s="111"/>
      <c r="D284" s="184"/>
      <c r="E284" s="184"/>
      <c r="F284" s="184"/>
      <c r="G284" s="184"/>
      <c r="H284" s="184"/>
      <c r="I284" s="184"/>
      <c r="J284" s="184"/>
      <c r="K284" s="184"/>
      <c r="L284" s="184"/>
      <c r="M284" s="184"/>
      <c r="N284" s="184"/>
      <c r="O284" s="194"/>
    </row>
  </sheetData>
  <sheetProtection sheet="1" formatCells="0" formatColumns="0" formatRows="0" insertColumns="0" insertHyperlinks="0" deleteColumns="0" sort="0" autoFilter="0" pivotTables="0"/>
  <mergeCells count="17">
    <mergeCell ref="G94:G95"/>
    <mergeCell ref="C74:F74"/>
    <mergeCell ref="F94:F95"/>
    <mergeCell ref="C162:F162"/>
    <mergeCell ref="C163:F163"/>
    <mergeCell ref="C98:E98"/>
    <mergeCell ref="C100:E100"/>
    <mergeCell ref="C78:F78"/>
    <mergeCell ref="C7:E7"/>
    <mergeCell ref="F92:F93"/>
    <mergeCell ref="C76:F76"/>
    <mergeCell ref="C77:F77"/>
    <mergeCell ref="G92:G93"/>
    <mergeCell ref="C16:E16"/>
    <mergeCell ref="C22:E22"/>
    <mergeCell ref="C72:F72"/>
    <mergeCell ref="C73:F73"/>
  </mergeCells>
  <phoneticPr fontId="5" type="noConversion"/>
  <dataValidations disablePrompts="1" count="1">
    <dataValidation type="list" allowBlank="1" showInputMessage="1" showErrorMessage="1" error="Velg fra ratinglisten!" sqref="D199:D248" xr:uid="{00000000-0002-0000-0100-000000000000}">
      <formula1>$C$171:$C$180</formula1>
    </dataValidation>
  </dataValidations>
  <pageMargins left="0.74803149606299213" right="0.74803149606299213" top="0.98425196850393704" bottom="0.98425196850393704" header="0.51181102362204722" footer="0.51181102362204722"/>
  <pageSetup paperSize="9" scale="35" fitToHeight="2" orientation="portrait" r:id="rId1"/>
  <headerFooter alignWithMargins="0">
    <oddFooter>&amp;CSide &amp;P</oddFooter>
  </headerFooter>
  <rowBreaks count="3" manualBreakCount="3">
    <brk id="78" max="14" man="1"/>
    <brk id="147" max="14" man="1"/>
    <brk id="252" max="14" man="1"/>
  </rowBreaks>
  <ignoredErrors>
    <ignoredError sqref="H11:J11 I30:J30 H74:J74 K199:K208 K249 J258:J263 D264:I264 I251 I196 L191:M191 J271:J276 D277:I277 I282 M5:M7 H13:M22 H26:M26 H65:L70 K75:L77 F199:J208 H7:L7 F84:G84 I82 F86:G87 F89:G95 I93:I117 H125 F126 F134:H134 I123 G138:G140 I145 I155 I165 H171:I184 H72:L73 K71:L71 H76:J77 H12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71"/>
  <sheetViews>
    <sheetView zoomScaleNormal="100" workbookViewId="0"/>
  </sheetViews>
  <sheetFormatPr baseColWidth="10" defaultColWidth="9.08984375" defaultRowHeight="12.5"/>
  <cols>
    <col min="1" max="1" width="5.6328125" style="2" customWidth="1"/>
    <col min="2" max="2" width="9.08984375" style="2" customWidth="1"/>
    <col min="3" max="3" width="15.453125" style="2" customWidth="1"/>
    <col min="4" max="7" width="18.6328125" style="2" customWidth="1"/>
    <col min="8" max="8" width="12.6328125" style="2" customWidth="1"/>
    <col min="9" max="9" width="20.6328125" style="2" customWidth="1"/>
    <col min="10" max="10" width="5.6328125" style="2" customWidth="1"/>
    <col min="11" max="11" width="9.08984375" style="2" customWidth="1"/>
    <col min="12" max="12" width="16.90625" style="2" customWidth="1"/>
    <col min="13" max="16384" width="9.08984375" style="2"/>
  </cols>
  <sheetData>
    <row r="1" spans="1:16" ht="12.75" customHeight="1">
      <c r="A1" s="39"/>
      <c r="B1" s="112"/>
      <c r="C1" s="112"/>
      <c r="D1" s="279"/>
      <c r="E1" s="279"/>
      <c r="F1" s="279"/>
      <c r="G1" s="335"/>
      <c r="H1" s="335"/>
      <c r="I1" s="279"/>
      <c r="J1" s="280"/>
      <c r="K1" s="38"/>
      <c r="L1" s="8"/>
      <c r="M1" s="8"/>
      <c r="N1" s="8"/>
      <c r="O1" s="8"/>
      <c r="P1" s="8"/>
    </row>
    <row r="2" spans="1:16" ht="15.75" customHeight="1">
      <c r="A2" s="32"/>
      <c r="B2" s="11" t="s">
        <v>294</v>
      </c>
      <c r="C2" s="184"/>
      <c r="D2" s="184"/>
      <c r="E2" s="184"/>
      <c r="F2" s="184"/>
      <c r="G2" s="260"/>
      <c r="H2" s="184"/>
      <c r="I2" s="33"/>
      <c r="J2" s="37"/>
      <c r="K2" s="38"/>
      <c r="L2" s="8"/>
      <c r="M2" s="8"/>
      <c r="N2" s="8"/>
      <c r="O2" s="8"/>
      <c r="P2" s="8"/>
    </row>
    <row r="3" spans="1:16" ht="15.75" customHeight="1">
      <c r="A3" s="32"/>
      <c r="B3" s="30"/>
      <c r="C3" s="30"/>
      <c r="D3" s="33"/>
      <c r="E3" s="33"/>
      <c r="F3" s="33"/>
      <c r="G3" s="259"/>
      <c r="H3" s="259"/>
      <c r="I3" s="33"/>
      <c r="J3" s="37"/>
      <c r="K3" s="38"/>
      <c r="L3" s="8"/>
      <c r="M3" s="8"/>
      <c r="N3" s="8"/>
      <c r="O3" s="8"/>
      <c r="P3" s="8"/>
    </row>
    <row r="4" spans="1:16" ht="15.75" customHeight="1">
      <c r="A4" s="32"/>
      <c r="B4" s="30" t="s">
        <v>295</v>
      </c>
      <c r="C4" s="33"/>
      <c r="D4" s="33"/>
      <c r="E4" s="33"/>
      <c r="F4" s="33"/>
      <c r="G4" s="259"/>
      <c r="H4" s="259"/>
      <c r="I4" s="33"/>
      <c r="J4" s="37"/>
      <c r="K4" s="38"/>
      <c r="L4" s="8"/>
      <c r="M4" s="8"/>
      <c r="N4" s="8"/>
      <c r="O4" s="8"/>
      <c r="P4" s="8"/>
    </row>
    <row r="5" spans="1:16" ht="15.75" customHeight="1">
      <c r="A5" s="32"/>
      <c r="B5" s="33" t="s">
        <v>296</v>
      </c>
      <c r="C5" s="33" t="s">
        <v>297</v>
      </c>
      <c r="D5" s="33"/>
      <c r="E5" s="33"/>
      <c r="F5" s="33"/>
      <c r="G5" s="259"/>
      <c r="H5" s="65" t="s">
        <v>298</v>
      </c>
      <c r="I5" s="336">
        <v>0</v>
      </c>
      <c r="J5" s="37"/>
      <c r="K5" s="38"/>
      <c r="L5" s="8"/>
      <c r="M5" s="8"/>
      <c r="N5" s="8"/>
      <c r="O5" s="8"/>
      <c r="P5" s="8"/>
    </row>
    <row r="6" spans="1:16" ht="15.75" customHeight="1">
      <c r="A6" s="32"/>
      <c r="B6" s="33" t="s">
        <v>299</v>
      </c>
      <c r="C6" s="33" t="s">
        <v>300</v>
      </c>
      <c r="D6" s="33"/>
      <c r="E6" s="33"/>
      <c r="F6" s="33"/>
      <c r="G6" s="259"/>
      <c r="H6" s="259" t="s">
        <v>301</v>
      </c>
      <c r="I6" s="336">
        <v>0</v>
      </c>
      <c r="J6" s="37"/>
      <c r="K6" s="38"/>
      <c r="L6" s="8"/>
      <c r="M6" s="8"/>
      <c r="N6" s="8"/>
      <c r="O6" s="8"/>
      <c r="P6" s="8"/>
    </row>
    <row r="7" spans="1:16" ht="15.75" customHeight="1">
      <c r="A7" s="32"/>
      <c r="B7" s="33" t="s">
        <v>302</v>
      </c>
      <c r="C7" s="33" t="s">
        <v>303</v>
      </c>
      <c r="D7" s="33"/>
      <c r="E7" s="33"/>
      <c r="F7" s="33"/>
      <c r="G7" s="259"/>
      <c r="H7" s="259" t="s">
        <v>304</v>
      </c>
      <c r="I7" s="336">
        <v>0</v>
      </c>
      <c r="J7" s="37"/>
      <c r="K7" s="38"/>
      <c r="L7" s="8"/>
      <c r="M7" s="8"/>
      <c r="N7" s="8"/>
      <c r="O7" s="8"/>
      <c r="P7" s="8"/>
    </row>
    <row r="8" spans="1:16" ht="15.75" customHeight="1">
      <c r="A8" s="32"/>
      <c r="B8" s="33" t="s">
        <v>305</v>
      </c>
      <c r="C8" s="33" t="s">
        <v>306</v>
      </c>
      <c r="D8" s="33"/>
      <c r="E8" s="33"/>
      <c r="F8" s="33"/>
      <c r="G8" s="259"/>
      <c r="H8" s="259" t="s">
        <v>307</v>
      </c>
      <c r="I8" s="336">
        <v>0</v>
      </c>
      <c r="J8" s="37"/>
      <c r="K8" s="38"/>
      <c r="L8" s="8"/>
      <c r="M8" s="8"/>
      <c r="N8" s="8"/>
      <c r="O8" s="8"/>
      <c r="P8" s="8"/>
    </row>
    <row r="9" spans="1:16" ht="15.75" customHeight="1">
      <c r="A9" s="32"/>
      <c r="B9" s="33" t="s">
        <v>308</v>
      </c>
      <c r="C9" s="33" t="s">
        <v>309</v>
      </c>
      <c r="D9" s="33"/>
      <c r="E9" s="33"/>
      <c r="F9" s="33"/>
      <c r="G9" s="259"/>
      <c r="H9" s="259" t="s">
        <v>310</v>
      </c>
      <c r="I9" s="336">
        <v>0</v>
      </c>
      <c r="J9" s="37"/>
      <c r="K9" s="38"/>
      <c r="L9" s="8"/>
      <c r="M9" s="8"/>
      <c r="N9" s="8"/>
      <c r="O9" s="8"/>
      <c r="P9" s="8"/>
    </row>
    <row r="10" spans="1:16" ht="15.75" customHeight="1">
      <c r="A10" s="32"/>
      <c r="B10" s="30"/>
      <c r="C10" s="30"/>
      <c r="D10" s="33"/>
      <c r="E10" s="33"/>
      <c r="F10" s="33"/>
      <c r="G10" s="259"/>
      <c r="H10" s="259"/>
      <c r="I10" s="33"/>
      <c r="J10" s="37"/>
      <c r="K10" s="38"/>
      <c r="L10" s="8"/>
      <c r="M10" s="8"/>
      <c r="N10" s="8"/>
      <c r="O10" s="8"/>
      <c r="P10" s="8"/>
    </row>
    <row r="11" spans="1:16" ht="15.9" customHeight="1">
      <c r="A11" s="32"/>
      <c r="B11" s="111" t="s">
        <v>311</v>
      </c>
      <c r="C11" s="184"/>
      <c r="D11" s="184"/>
      <c r="E11" s="184"/>
      <c r="F11" s="184"/>
      <c r="G11" s="260"/>
      <c r="H11" s="260"/>
      <c r="I11" s="184"/>
      <c r="J11" s="37"/>
      <c r="K11" s="38"/>
      <c r="L11" s="38"/>
      <c r="M11" s="38"/>
      <c r="N11" s="38"/>
      <c r="O11" s="38"/>
      <c r="P11" s="38"/>
    </row>
    <row r="12" spans="1:16" ht="15.9" customHeight="1">
      <c r="A12" s="32"/>
      <c r="B12" s="27"/>
      <c r="C12" s="33"/>
      <c r="D12" s="33"/>
      <c r="E12" s="33"/>
      <c r="F12" s="33"/>
      <c r="G12" s="259"/>
      <c r="H12" s="259"/>
      <c r="I12" s="33"/>
      <c r="J12" s="37"/>
      <c r="K12" s="38"/>
      <c r="L12" s="38"/>
      <c r="M12" s="38"/>
      <c r="N12" s="38"/>
      <c r="O12" s="38"/>
      <c r="P12" s="38"/>
    </row>
    <row r="13" spans="1:16" ht="15.9" customHeight="1">
      <c r="A13" s="32"/>
      <c r="B13" s="113" t="s">
        <v>312</v>
      </c>
      <c r="C13" s="33"/>
      <c r="D13" s="33"/>
      <c r="E13" s="33"/>
      <c r="F13" s="33"/>
      <c r="G13" s="259"/>
      <c r="H13" s="259"/>
      <c r="I13" s="33"/>
      <c r="J13" s="37"/>
      <c r="K13" s="38"/>
      <c r="L13" s="38"/>
      <c r="M13" s="38"/>
      <c r="N13" s="38"/>
      <c r="O13" s="38"/>
      <c r="P13" s="38"/>
    </row>
    <row r="14" spans="1:16" ht="15.9" customHeight="1">
      <c r="A14" s="32"/>
      <c r="B14" s="30" t="s">
        <v>313</v>
      </c>
      <c r="C14" s="33" t="s">
        <v>314</v>
      </c>
      <c r="D14" s="33"/>
      <c r="E14" s="33"/>
      <c r="F14" s="33"/>
      <c r="G14" s="337"/>
      <c r="H14" s="259" t="s">
        <v>315</v>
      </c>
      <c r="I14" s="336">
        <v>0</v>
      </c>
      <c r="J14" s="37"/>
      <c r="K14" s="38"/>
      <c r="L14" s="38"/>
      <c r="M14" s="38"/>
      <c r="N14" s="38"/>
      <c r="O14" s="38"/>
      <c r="P14" s="38"/>
    </row>
    <row r="15" spans="1:16" ht="15.9" customHeight="1">
      <c r="A15" s="32"/>
      <c r="B15" s="30"/>
      <c r="C15" s="33"/>
      <c r="D15" s="33"/>
      <c r="E15" s="33"/>
      <c r="F15" s="33"/>
      <c r="G15" s="337"/>
      <c r="H15" s="259"/>
      <c r="I15" s="337"/>
      <c r="J15" s="37"/>
      <c r="K15" s="38"/>
      <c r="L15" s="38"/>
      <c r="M15" s="38"/>
      <c r="N15" s="38"/>
      <c r="O15" s="38"/>
      <c r="P15" s="38"/>
    </row>
    <row r="16" spans="1:16" ht="15.9" customHeight="1">
      <c r="A16" s="32"/>
      <c r="B16" s="113" t="s">
        <v>316</v>
      </c>
      <c r="C16" s="33"/>
      <c r="D16" s="33"/>
      <c r="E16" s="33"/>
      <c r="F16" s="33"/>
      <c r="G16" s="337"/>
      <c r="H16" s="259"/>
      <c r="I16" s="33"/>
      <c r="J16" s="37"/>
      <c r="K16" s="38"/>
      <c r="L16" s="38"/>
      <c r="M16" s="38"/>
      <c r="N16" s="38"/>
      <c r="O16" s="38"/>
      <c r="P16" s="38"/>
    </row>
    <row r="17" spans="1:10" ht="15.9" customHeight="1">
      <c r="A17" s="32"/>
      <c r="B17" s="30" t="s">
        <v>317</v>
      </c>
      <c r="C17" s="33" t="s">
        <v>318</v>
      </c>
      <c r="D17" s="33"/>
      <c r="E17" s="33"/>
      <c r="F17" s="33"/>
      <c r="G17" s="337"/>
      <c r="H17" s="259" t="s">
        <v>319</v>
      </c>
      <c r="I17" s="282">
        <v>0</v>
      </c>
      <c r="J17" s="37"/>
    </row>
    <row r="18" spans="1:10" ht="15.9" customHeight="1">
      <c r="A18" s="32"/>
      <c r="B18" s="30" t="s">
        <v>320</v>
      </c>
      <c r="C18" s="33" t="s">
        <v>314</v>
      </c>
      <c r="D18" s="33"/>
      <c r="E18" s="33"/>
      <c r="F18" s="33"/>
      <c r="G18" s="337"/>
      <c r="H18" s="259" t="s">
        <v>321</v>
      </c>
      <c r="I18" s="274">
        <f>MAX(0,I17-I5)</f>
        <v>0</v>
      </c>
      <c r="J18" s="37"/>
    </row>
    <row r="19" spans="1:10" ht="15.9" customHeight="1">
      <c r="A19" s="32"/>
      <c r="B19" s="30"/>
      <c r="C19" s="33"/>
      <c r="D19" s="33"/>
      <c r="E19" s="33"/>
      <c r="F19" s="33"/>
      <c r="G19" s="337"/>
      <c r="H19" s="259"/>
      <c r="I19" s="259"/>
      <c r="J19" s="37"/>
    </row>
    <row r="20" spans="1:10" ht="15.9" customHeight="1">
      <c r="A20" s="32"/>
      <c r="B20" s="30" t="s">
        <v>322</v>
      </c>
      <c r="C20" s="30" t="s">
        <v>323</v>
      </c>
      <c r="D20" s="33"/>
      <c r="E20" s="33"/>
      <c r="F20" s="33"/>
      <c r="G20" s="73"/>
      <c r="H20" s="65" t="s">
        <v>324</v>
      </c>
      <c r="I20" s="50">
        <f>MAX(0,(I14+I18))</f>
        <v>0</v>
      </c>
      <c r="J20" s="37"/>
    </row>
    <row r="21" spans="1:10" ht="15.9" customHeight="1">
      <c r="A21" s="32"/>
      <c r="B21" s="30"/>
      <c r="C21" s="33"/>
      <c r="D21" s="33"/>
      <c r="E21" s="33"/>
      <c r="F21" s="33"/>
      <c r="G21" s="259"/>
      <c r="H21" s="259"/>
      <c r="I21" s="33"/>
      <c r="J21" s="37"/>
    </row>
    <row r="22" spans="1:10" ht="15.9" customHeight="1">
      <c r="A22" s="32"/>
      <c r="B22" s="111" t="s">
        <v>325</v>
      </c>
      <c r="C22" s="184"/>
      <c r="D22" s="184"/>
      <c r="E22" s="184"/>
      <c r="F22" s="184"/>
      <c r="G22" s="260"/>
      <c r="H22" s="260"/>
      <c r="I22" s="184"/>
      <c r="J22" s="37"/>
    </row>
    <row r="23" spans="1:10" ht="15.9" customHeight="1">
      <c r="A23" s="32"/>
      <c r="B23" s="27"/>
      <c r="C23" s="33"/>
      <c r="D23" s="33"/>
      <c r="E23" s="33"/>
      <c r="F23" s="33"/>
      <c r="G23" s="259"/>
      <c r="H23" s="259"/>
      <c r="I23" s="33"/>
      <c r="J23" s="37"/>
    </row>
    <row r="24" spans="1:10" ht="15.9" customHeight="1">
      <c r="A24" s="32"/>
      <c r="B24" s="30" t="s">
        <v>326</v>
      </c>
      <c r="C24" s="33" t="s">
        <v>327</v>
      </c>
      <c r="D24" s="33"/>
      <c r="E24" s="33"/>
      <c r="F24" s="33"/>
      <c r="G24" s="337"/>
      <c r="H24" s="259" t="s">
        <v>328</v>
      </c>
      <c r="I24" s="282">
        <v>0</v>
      </c>
      <c r="J24" s="37"/>
    </row>
    <row r="25" spans="1:10" ht="15.9" customHeight="1">
      <c r="A25" s="32"/>
      <c r="B25" s="30"/>
      <c r="C25" s="33"/>
      <c r="D25" s="33"/>
      <c r="E25" s="33"/>
      <c r="F25" s="33"/>
      <c r="G25" s="337"/>
      <c r="H25" s="259"/>
      <c r="I25" s="33"/>
      <c r="J25" s="37"/>
    </row>
    <row r="26" spans="1:10" ht="15.9" customHeight="1">
      <c r="A26" s="32"/>
      <c r="B26" s="30" t="s">
        <v>329</v>
      </c>
      <c r="C26" s="30" t="s">
        <v>330</v>
      </c>
      <c r="D26" s="33"/>
      <c r="E26" s="33"/>
      <c r="F26" s="33"/>
      <c r="G26" s="73"/>
      <c r="H26" s="65" t="s">
        <v>331</v>
      </c>
      <c r="I26" s="50">
        <f>MAX(0,(I24-I5))</f>
        <v>0</v>
      </c>
      <c r="J26" s="37"/>
    </row>
    <row r="27" spans="1:10" ht="15.9" customHeight="1">
      <c r="A27" s="32"/>
      <c r="B27" s="30"/>
      <c r="C27" s="33"/>
      <c r="D27" s="33"/>
      <c r="E27" s="33"/>
      <c r="F27" s="33"/>
      <c r="G27" s="259"/>
      <c r="H27" s="259"/>
      <c r="I27" s="33"/>
      <c r="J27" s="37"/>
    </row>
    <row r="28" spans="1:10" ht="15.9" customHeight="1">
      <c r="A28" s="32"/>
      <c r="B28" s="111" t="s">
        <v>332</v>
      </c>
      <c r="C28" s="184"/>
      <c r="D28" s="184"/>
      <c r="E28" s="184"/>
      <c r="F28" s="184"/>
      <c r="G28" s="260"/>
      <c r="H28" s="260"/>
      <c r="I28" s="184"/>
      <c r="J28" s="37"/>
    </row>
    <row r="29" spans="1:10" ht="15.9" customHeight="1">
      <c r="A29" s="32"/>
      <c r="B29" s="33"/>
      <c r="C29" s="33"/>
      <c r="D29" s="33"/>
      <c r="E29" s="33"/>
      <c r="F29" s="33"/>
      <c r="G29" s="259"/>
      <c r="H29" s="259"/>
      <c r="I29" s="33"/>
      <c r="J29" s="37"/>
    </row>
    <row r="30" spans="1:10" ht="15.9" customHeight="1">
      <c r="A30" s="32"/>
      <c r="B30" s="113" t="s">
        <v>333</v>
      </c>
      <c r="C30" s="33"/>
      <c r="D30" s="33"/>
      <c r="E30" s="33"/>
      <c r="F30" s="33"/>
      <c r="G30" s="337"/>
      <c r="H30" s="259"/>
      <c r="I30" s="33"/>
      <c r="J30" s="37"/>
    </row>
    <row r="31" spans="1:10" ht="15.9" customHeight="1">
      <c r="A31" s="32"/>
      <c r="B31" s="30" t="s">
        <v>334</v>
      </c>
      <c r="C31" s="33" t="s">
        <v>335</v>
      </c>
      <c r="D31" s="33"/>
      <c r="E31" s="33"/>
      <c r="F31" s="33"/>
      <c r="G31" s="337"/>
      <c r="H31" s="259" t="s">
        <v>336</v>
      </c>
      <c r="I31" s="282">
        <v>0</v>
      </c>
      <c r="J31" s="37"/>
    </row>
    <row r="32" spans="1:10" ht="15.9" customHeight="1">
      <c r="A32" s="32"/>
      <c r="B32" s="30"/>
      <c r="C32" s="33"/>
      <c r="D32" s="33"/>
      <c r="E32" s="33"/>
      <c r="F32" s="33"/>
      <c r="G32" s="337"/>
      <c r="H32" s="259"/>
      <c r="I32" s="259"/>
      <c r="J32" s="37"/>
    </row>
    <row r="33" spans="1:11" ht="15.9" customHeight="1">
      <c r="A33" s="32"/>
      <c r="B33" s="30" t="s">
        <v>337</v>
      </c>
      <c r="C33" s="30" t="s">
        <v>338</v>
      </c>
      <c r="D33" s="33"/>
      <c r="E33" s="33"/>
      <c r="F33" s="33"/>
      <c r="G33" s="73"/>
      <c r="H33" s="65" t="s">
        <v>339</v>
      </c>
      <c r="I33" s="50">
        <f>MAX(0,(I31-I5))</f>
        <v>0</v>
      </c>
      <c r="J33" s="37"/>
      <c r="K33" s="38"/>
    </row>
    <row r="34" spans="1:11" ht="15.9" customHeight="1">
      <c r="A34" s="32"/>
      <c r="B34" s="30"/>
      <c r="C34" s="33"/>
      <c r="D34" s="33"/>
      <c r="E34" s="33"/>
      <c r="F34" s="33"/>
      <c r="G34" s="259"/>
      <c r="H34" s="259"/>
      <c r="I34" s="33"/>
      <c r="J34" s="37"/>
      <c r="K34" s="38"/>
    </row>
    <row r="35" spans="1:11" ht="13">
      <c r="A35" s="32"/>
      <c r="B35" s="111" t="s">
        <v>340</v>
      </c>
      <c r="C35" s="184"/>
      <c r="D35" s="184"/>
      <c r="E35" s="184"/>
      <c r="F35" s="184"/>
      <c r="G35" s="260"/>
      <c r="H35" s="260"/>
      <c r="I35" s="184"/>
      <c r="J35" s="37"/>
      <c r="K35" s="38"/>
    </row>
    <row r="36" spans="1:11" ht="13">
      <c r="A36" s="32"/>
      <c r="B36" s="30"/>
      <c r="C36" s="33"/>
      <c r="D36" s="33"/>
      <c r="E36" s="33"/>
      <c r="F36" s="33"/>
      <c r="G36" s="259"/>
      <c r="H36" s="259"/>
      <c r="I36" s="33"/>
      <c r="J36" s="37"/>
      <c r="K36" s="38"/>
    </row>
    <row r="37" spans="1:11" ht="13">
      <c r="A37" s="32"/>
      <c r="B37" s="30" t="s">
        <v>341</v>
      </c>
      <c r="C37" s="33"/>
      <c r="D37" s="33"/>
      <c r="E37" s="33"/>
      <c r="F37" s="33"/>
      <c r="G37" s="259"/>
      <c r="H37" s="259"/>
      <c r="I37" s="33"/>
      <c r="J37" s="37"/>
      <c r="K37" s="38"/>
    </row>
    <row r="38" spans="1:11" ht="13">
      <c r="A38" s="32"/>
      <c r="B38" s="30" t="s">
        <v>342</v>
      </c>
      <c r="C38" s="33" t="s">
        <v>343</v>
      </c>
      <c r="D38" s="33"/>
      <c r="E38" s="33"/>
      <c r="F38" s="33"/>
      <c r="G38" s="259"/>
      <c r="H38" s="259" t="s">
        <v>344</v>
      </c>
      <c r="I38" s="274">
        <f>MAXA(0,0.7*('Beste estimat og risikomargin'!E5-'Beste estimat og risikomargin'!E21))+MAXA(0,0.7*('Beste estimat og risikomargin'!F5-'Beste estimat og risikomargin'!F21))+MAXA(0,0.4*('Beste estimat og risikomargin'!G5-'Beste estimat og risikomargin'!G21))+MAXA(0,0.4*('Beste estimat og risikomargin'!H5-'Beste estimat og risikomargin'!H21))+MAXA(0,0.4*('Beste estimat og risikomargin'!I5-'Beste estimat og risikomargin'!I21))</f>
        <v>0</v>
      </c>
      <c r="J38" s="37"/>
      <c r="K38" s="206"/>
    </row>
    <row r="39" spans="1:11" ht="13">
      <c r="A39" s="32"/>
      <c r="B39" s="30"/>
      <c r="C39" s="33"/>
      <c r="D39" s="33"/>
      <c r="E39" s="33"/>
      <c r="F39" s="33"/>
      <c r="G39" s="259"/>
      <c r="H39" s="259"/>
      <c r="I39" s="33"/>
      <c r="J39" s="37"/>
      <c r="K39" s="38"/>
    </row>
    <row r="40" spans="1:11" ht="13">
      <c r="A40" s="32"/>
      <c r="B40" s="30"/>
      <c r="C40" s="33"/>
      <c r="D40" s="33"/>
      <c r="E40" s="33"/>
      <c r="F40" s="33"/>
      <c r="G40" s="259"/>
      <c r="H40" s="259"/>
      <c r="I40" s="33"/>
      <c r="J40" s="37"/>
      <c r="K40" s="38"/>
    </row>
    <row r="41" spans="1:11" ht="13">
      <c r="A41" s="32"/>
      <c r="B41" s="111" t="s">
        <v>345</v>
      </c>
      <c r="C41" s="184"/>
      <c r="D41" s="184"/>
      <c r="E41" s="184"/>
      <c r="F41" s="184"/>
      <c r="G41" s="260"/>
      <c r="H41" s="260"/>
      <c r="I41" s="184"/>
      <c r="J41" s="37"/>
      <c r="K41" s="38"/>
    </row>
    <row r="42" spans="1:11" ht="15.5">
      <c r="A42" s="32"/>
      <c r="B42" s="27"/>
      <c r="C42" s="33"/>
      <c r="D42" s="33"/>
      <c r="E42" s="33"/>
      <c r="F42" s="33"/>
      <c r="G42" s="259"/>
      <c r="H42" s="259"/>
      <c r="I42" s="33"/>
      <c r="J42" s="37"/>
      <c r="K42" s="38"/>
    </row>
    <row r="43" spans="1:11" ht="13">
      <c r="A43" s="32"/>
      <c r="B43" s="30" t="s">
        <v>346</v>
      </c>
      <c r="C43" s="30" t="s">
        <v>347</v>
      </c>
      <c r="D43" s="33"/>
      <c r="E43" s="33"/>
      <c r="F43" s="33"/>
      <c r="G43" s="259"/>
      <c r="H43" s="259"/>
      <c r="I43" s="33"/>
      <c r="J43" s="37"/>
      <c r="K43" s="38"/>
    </row>
    <row r="44" spans="1:11" ht="15.5">
      <c r="A44" s="32"/>
      <c r="B44" s="27"/>
      <c r="C44" s="78" t="s">
        <v>19</v>
      </c>
      <c r="D44" s="35" t="s">
        <v>348</v>
      </c>
      <c r="E44" s="36" t="s">
        <v>349</v>
      </c>
      <c r="F44" s="35" t="s">
        <v>350</v>
      </c>
      <c r="G44" s="36" t="s">
        <v>351</v>
      </c>
      <c r="H44" s="114" t="s">
        <v>24</v>
      </c>
      <c r="I44" s="33"/>
      <c r="J44" s="12"/>
      <c r="K44" s="38"/>
    </row>
    <row r="45" spans="1:11" ht="15.5">
      <c r="A45" s="32"/>
      <c r="B45" s="27"/>
      <c r="C45" s="338" t="s">
        <v>348</v>
      </c>
      <c r="D45" s="115">
        <v>1</v>
      </c>
      <c r="E45" s="116">
        <v>-0.25</v>
      </c>
      <c r="F45" s="116">
        <v>0.25</v>
      </c>
      <c r="G45" s="117">
        <v>0</v>
      </c>
      <c r="H45" s="118">
        <f>I20</f>
        <v>0</v>
      </c>
      <c r="I45" s="33"/>
      <c r="J45" s="119"/>
      <c r="K45" s="38"/>
    </row>
    <row r="46" spans="1:11" ht="15.5">
      <c r="A46" s="32"/>
      <c r="B46" s="27"/>
      <c r="C46" s="103" t="s">
        <v>349</v>
      </c>
      <c r="D46" s="102">
        <v>-0.25</v>
      </c>
      <c r="E46" s="101">
        <v>1</v>
      </c>
      <c r="F46" s="102">
        <v>0</v>
      </c>
      <c r="G46" s="79">
        <v>0.25</v>
      </c>
      <c r="H46" s="118">
        <f>I26</f>
        <v>0</v>
      </c>
      <c r="I46" s="33"/>
      <c r="J46" s="119"/>
      <c r="K46" s="38"/>
    </row>
    <row r="47" spans="1:11" ht="15.5">
      <c r="A47" s="32"/>
      <c r="B47" s="27"/>
      <c r="C47" s="339" t="s">
        <v>350</v>
      </c>
      <c r="D47" s="102">
        <v>0.25</v>
      </c>
      <c r="E47" s="102">
        <v>0</v>
      </c>
      <c r="F47" s="101">
        <v>1</v>
      </c>
      <c r="G47" s="79">
        <v>0</v>
      </c>
      <c r="H47" s="118">
        <f>I33</f>
        <v>0</v>
      </c>
      <c r="I47" s="33"/>
      <c r="J47" s="119"/>
      <c r="K47" s="38"/>
    </row>
    <row r="48" spans="1:11" ht="15.5">
      <c r="A48" s="32"/>
      <c r="B48" s="27"/>
      <c r="C48" s="340" t="s">
        <v>352</v>
      </c>
      <c r="D48" s="106">
        <v>0</v>
      </c>
      <c r="E48" s="106">
        <v>0.25</v>
      </c>
      <c r="F48" s="106">
        <v>0</v>
      </c>
      <c r="G48" s="104">
        <v>1</v>
      </c>
      <c r="H48" s="118">
        <f>I38</f>
        <v>0</v>
      </c>
      <c r="I48" s="33"/>
      <c r="J48" s="119"/>
      <c r="K48" s="38"/>
    </row>
    <row r="49" spans="1:10" ht="15.5">
      <c r="A49" s="32"/>
      <c r="B49" s="27"/>
      <c r="C49" s="10" t="s">
        <v>27</v>
      </c>
      <c r="D49" s="120">
        <f>I20</f>
        <v>0</v>
      </c>
      <c r="E49" s="120">
        <f>I26</f>
        <v>0</v>
      </c>
      <c r="F49" s="121">
        <f>I33</f>
        <v>0</v>
      </c>
      <c r="G49" s="121">
        <f>I38</f>
        <v>0</v>
      </c>
      <c r="H49" s="33"/>
      <c r="I49" s="33"/>
      <c r="J49" s="37"/>
    </row>
    <row r="50" spans="1:10" ht="15.5">
      <c r="A50" s="32"/>
      <c r="B50" s="27"/>
      <c r="C50" s="33"/>
      <c r="D50" s="33"/>
      <c r="E50" s="33"/>
      <c r="F50" s="33"/>
      <c r="G50" s="259"/>
      <c r="H50" s="259"/>
      <c r="I50" s="33"/>
      <c r="J50" s="37"/>
    </row>
    <row r="51" spans="1:10" ht="13">
      <c r="A51" s="32"/>
      <c r="B51" s="30"/>
      <c r="C51" s="30"/>
      <c r="D51" s="33"/>
      <c r="E51" s="33"/>
      <c r="F51" s="33"/>
      <c r="G51" s="259"/>
      <c r="H51" s="259"/>
      <c r="I51" s="33"/>
      <c r="J51" s="37"/>
    </row>
    <row r="52" spans="1:10" ht="15">
      <c r="A52" s="32"/>
      <c r="B52" s="30"/>
      <c r="C52" s="30" t="s">
        <v>183</v>
      </c>
      <c r="D52" s="33"/>
      <c r="E52" s="33"/>
      <c r="F52" s="33"/>
      <c r="G52" s="84">
        <f>MMULT(D49:G49,MMULT(D45:G48,H45:H48))</f>
        <v>0</v>
      </c>
      <c r="H52" s="259"/>
      <c r="I52" s="85"/>
      <c r="J52" s="37"/>
    </row>
    <row r="53" spans="1:10" ht="13">
      <c r="A53" s="32"/>
      <c r="B53" s="30"/>
      <c r="C53" s="30"/>
      <c r="D53" s="33"/>
      <c r="E53" s="33"/>
      <c r="F53" s="33"/>
      <c r="G53" s="259"/>
      <c r="H53" s="259"/>
      <c r="I53" s="33"/>
      <c r="J53" s="37"/>
    </row>
    <row r="54" spans="1:10" ht="15">
      <c r="A54" s="32"/>
      <c r="B54" s="30" t="s">
        <v>353</v>
      </c>
      <c r="C54" s="30" t="s">
        <v>12</v>
      </c>
      <c r="D54" s="33"/>
      <c r="E54" s="33"/>
      <c r="F54" s="33"/>
      <c r="G54" s="73"/>
      <c r="H54" s="65" t="s">
        <v>354</v>
      </c>
      <c r="I54" s="50">
        <f>SQRT(G52)</f>
        <v>0</v>
      </c>
      <c r="J54" s="37"/>
    </row>
    <row r="55" spans="1:10" ht="13">
      <c r="A55" s="43"/>
      <c r="B55" s="111"/>
      <c r="C55" s="111"/>
      <c r="D55" s="184"/>
      <c r="E55" s="184"/>
      <c r="F55" s="184"/>
      <c r="G55" s="260"/>
      <c r="H55" s="260"/>
      <c r="I55" s="184"/>
      <c r="J55" s="194"/>
    </row>
    <row r="56" spans="1:10" ht="13">
      <c r="A56" s="30"/>
      <c r="B56" s="33"/>
      <c r="C56" s="30"/>
      <c r="D56" s="33"/>
      <c r="E56" s="30"/>
      <c r="F56" s="33"/>
      <c r="G56" s="30"/>
      <c r="H56" s="33"/>
      <c r="I56" s="30"/>
      <c r="J56" s="119"/>
    </row>
    <row r="57" spans="1:10" ht="13">
      <c r="A57" s="30"/>
      <c r="B57" s="33"/>
      <c r="C57" s="30"/>
      <c r="D57" s="33"/>
      <c r="E57" s="30"/>
      <c r="F57" s="33"/>
      <c r="G57" s="30"/>
      <c r="H57" s="33"/>
      <c r="I57" s="30"/>
      <c r="J57" s="119"/>
    </row>
    <row r="58" spans="1:10" ht="14.25" customHeight="1">
      <c r="A58" s="33"/>
      <c r="B58" s="30"/>
      <c r="C58" s="33"/>
      <c r="D58" s="30"/>
      <c r="E58" s="33"/>
      <c r="F58" s="33"/>
      <c r="G58" s="30"/>
      <c r="H58" s="33"/>
      <c r="I58" s="30"/>
      <c r="J58" s="37"/>
    </row>
    <row r="59" spans="1:10" ht="13">
      <c r="A59" s="33" t="s">
        <v>355</v>
      </c>
      <c r="B59" s="30"/>
      <c r="C59" s="33" t="s">
        <v>356</v>
      </c>
      <c r="D59" s="30"/>
      <c r="E59" s="33"/>
      <c r="F59" s="33"/>
      <c r="G59" s="259"/>
      <c r="H59" s="259"/>
      <c r="I59" s="30"/>
      <c r="J59" s="119"/>
    </row>
    <row r="60" spans="1:10" ht="13">
      <c r="A60" s="30"/>
      <c r="B60" s="30"/>
      <c r="C60" s="78" t="s">
        <v>19</v>
      </c>
      <c r="D60" s="36" t="s">
        <v>357</v>
      </c>
      <c r="E60" s="36" t="s">
        <v>349</v>
      </c>
      <c r="F60" s="36" t="s">
        <v>358</v>
      </c>
      <c r="G60" s="36" t="s">
        <v>351</v>
      </c>
      <c r="H60" s="114" t="s">
        <v>24</v>
      </c>
      <c r="I60" s="30"/>
      <c r="J60" s="119"/>
    </row>
    <row r="61" spans="1:10" ht="13">
      <c r="A61" s="30"/>
      <c r="B61" s="30"/>
      <c r="C61" s="100" t="s">
        <v>357</v>
      </c>
      <c r="D61" s="115">
        <v>1</v>
      </c>
      <c r="E61" s="116">
        <v>-0.25</v>
      </c>
      <c r="F61" s="116">
        <v>0.25</v>
      </c>
      <c r="G61" s="117">
        <v>0</v>
      </c>
      <c r="H61" s="118">
        <f>I20</f>
        <v>0</v>
      </c>
      <c r="I61" s="30"/>
      <c r="J61" s="37"/>
    </row>
    <row r="62" spans="1:10" ht="13">
      <c r="A62" s="30"/>
      <c r="B62" s="30"/>
      <c r="C62" s="103" t="s">
        <v>349</v>
      </c>
      <c r="D62" s="102">
        <v>-0.25</v>
      </c>
      <c r="E62" s="101">
        <v>1</v>
      </c>
      <c r="F62" s="102">
        <v>0</v>
      </c>
      <c r="G62" s="79">
        <v>0.25</v>
      </c>
      <c r="H62" s="118">
        <f>I26</f>
        <v>0</v>
      </c>
      <c r="I62" s="30"/>
      <c r="J62" s="119"/>
    </row>
    <row r="63" spans="1:10" ht="13">
      <c r="A63" s="30"/>
      <c r="B63" s="30"/>
      <c r="C63" s="103" t="s">
        <v>358</v>
      </c>
      <c r="D63" s="102">
        <v>0.25</v>
      </c>
      <c r="E63" s="102">
        <v>0</v>
      </c>
      <c r="F63" s="101">
        <v>1</v>
      </c>
      <c r="G63" s="79">
        <v>0</v>
      </c>
      <c r="H63" s="118">
        <f>I33</f>
        <v>0</v>
      </c>
      <c r="I63" s="30"/>
      <c r="J63" s="119"/>
    </row>
    <row r="64" spans="1:10" ht="13">
      <c r="A64" s="30"/>
      <c r="B64" s="30"/>
      <c r="C64" s="340" t="s">
        <v>352</v>
      </c>
      <c r="D64" s="106">
        <v>0</v>
      </c>
      <c r="E64" s="106">
        <v>0.25</v>
      </c>
      <c r="F64" s="106">
        <v>0</v>
      </c>
      <c r="G64" s="104">
        <v>1</v>
      </c>
      <c r="H64" s="118">
        <v>0</v>
      </c>
      <c r="I64" s="30"/>
      <c r="J64" s="37"/>
    </row>
    <row r="65" spans="1:10" ht="13">
      <c r="A65" s="30"/>
      <c r="B65" s="30"/>
      <c r="C65" s="10" t="s">
        <v>27</v>
      </c>
      <c r="D65" s="120">
        <f>H61</f>
        <v>0</v>
      </c>
      <c r="E65" s="120">
        <f>H62</f>
        <v>0</v>
      </c>
      <c r="F65" s="121">
        <f>H63</f>
        <v>0</v>
      </c>
      <c r="G65" s="121">
        <f>H64</f>
        <v>0</v>
      </c>
      <c r="H65" s="33"/>
      <c r="I65" s="30"/>
      <c r="J65" s="119"/>
    </row>
    <row r="66" spans="1:10" ht="13">
      <c r="A66" s="30"/>
      <c r="B66" s="30"/>
      <c r="C66" s="33"/>
      <c r="D66" s="33"/>
      <c r="E66" s="33"/>
      <c r="F66" s="33"/>
      <c r="G66" s="259"/>
      <c r="H66" s="259"/>
      <c r="I66" s="30"/>
      <c r="J66" s="119"/>
    </row>
    <row r="67" spans="1:10" ht="13">
      <c r="A67" s="30"/>
      <c r="B67" s="30"/>
      <c r="C67" s="30"/>
      <c r="D67" s="33"/>
      <c r="E67" s="33"/>
      <c r="F67" s="33"/>
      <c r="G67" s="259"/>
      <c r="H67" s="259"/>
      <c r="I67" s="30"/>
      <c r="J67" s="37"/>
    </row>
    <row r="68" spans="1:10" ht="15">
      <c r="A68" s="30"/>
      <c r="B68" s="30"/>
      <c r="C68" s="30" t="s">
        <v>183</v>
      </c>
      <c r="D68" s="33"/>
      <c r="E68" s="33"/>
      <c r="F68" s="33"/>
      <c r="G68" s="84">
        <f>MMULT(D65:G65,MMULT(D61:G64,H61:H64))</f>
        <v>0</v>
      </c>
      <c r="H68" s="259"/>
      <c r="I68" s="30"/>
      <c r="J68" s="119"/>
    </row>
    <row r="69" spans="1:10" ht="13">
      <c r="A69" s="30"/>
      <c r="B69" s="30"/>
      <c r="C69" s="33"/>
      <c r="D69" s="30"/>
      <c r="E69" s="30"/>
      <c r="F69" s="33"/>
      <c r="G69" s="30"/>
      <c r="H69" s="30"/>
      <c r="I69" s="30"/>
      <c r="J69" s="119"/>
    </row>
    <row r="70" spans="1:10" ht="15">
      <c r="A70" s="30"/>
      <c r="B70" s="30" t="s">
        <v>359</v>
      </c>
      <c r="C70" s="30" t="s">
        <v>360</v>
      </c>
      <c r="D70" s="30"/>
      <c r="E70" s="30"/>
      <c r="F70" s="33"/>
      <c r="G70" s="30"/>
      <c r="H70" s="65" t="s">
        <v>361</v>
      </c>
      <c r="I70" s="50">
        <f>SQRT(G68)</f>
        <v>0</v>
      </c>
      <c r="J70" s="37"/>
    </row>
    <row r="71" spans="1:10" ht="13">
      <c r="A71" s="43"/>
      <c r="B71" s="111"/>
      <c r="C71" s="111"/>
      <c r="D71" s="184"/>
      <c r="E71" s="184"/>
      <c r="F71" s="184"/>
      <c r="G71" s="260"/>
      <c r="H71" s="260"/>
      <c r="I71" s="184"/>
      <c r="J71" s="194"/>
    </row>
  </sheetData>
  <sheetProtection sheet="1" formatCells="0" formatColumns="0" formatRows="0" insertColumns="0" insertHyperlinks="0" deleteColumns="0" sort="0" autoFilter="0" pivotTables="0"/>
  <pageMargins left="0.74803149606299213" right="0.74803149606299213" top="0.98425196850393704" bottom="0.98425196850393704" header="0.51181102362204722" footer="0.51181102362204722"/>
  <pageSetup paperSize="9" scale="61" fitToHeight="0" orientation="portrait" r:id="rId1"/>
  <headerFooter alignWithMargins="0">
    <oddFooter>&amp;CSide &amp;P</oddFooter>
  </headerFooter>
  <colBreaks count="1" manualBreakCount="1">
    <brk id="10" max="1048575" man="1"/>
  </colBreaks>
  <ignoredErrors>
    <ignoredError sqref="I18 I20 I26 I3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0"/>
  <sheetViews>
    <sheetView zoomScaleNormal="100" workbookViewId="0"/>
  </sheetViews>
  <sheetFormatPr baseColWidth="10" defaultColWidth="7.54296875" defaultRowHeight="12.5"/>
  <cols>
    <col min="1" max="1" width="5.6328125" style="8" customWidth="1"/>
    <col min="2" max="2" width="9.08984375" style="8" customWidth="1"/>
    <col min="3" max="3" width="35.6328125" style="8" customWidth="1"/>
    <col min="4" max="8" width="20.6328125" style="8" customWidth="1"/>
    <col min="9" max="9" width="5.6328125" style="8" customWidth="1"/>
    <col min="10" max="10" width="24.36328125" style="8" customWidth="1"/>
    <col min="11" max="16384" width="7.54296875" style="8"/>
  </cols>
  <sheetData>
    <row r="1" spans="1:9" ht="13">
      <c r="A1" s="39"/>
      <c r="B1" s="122"/>
      <c r="C1" s="112"/>
      <c r="D1" s="112"/>
      <c r="E1" s="279"/>
      <c r="F1" s="279"/>
      <c r="G1" s="335"/>
      <c r="H1" s="279"/>
      <c r="I1" s="280"/>
    </row>
    <row r="2" spans="1:9" ht="15.5">
      <c r="A2" s="32"/>
      <c r="B2" s="11" t="s">
        <v>362</v>
      </c>
      <c r="C2" s="184"/>
      <c r="D2" s="184"/>
      <c r="E2" s="184"/>
      <c r="F2" s="184"/>
      <c r="G2" s="260"/>
      <c r="H2" s="184"/>
      <c r="I2" s="123"/>
    </row>
    <row r="3" spans="1:9" ht="15.5">
      <c r="A3" s="32"/>
      <c r="B3" s="240"/>
      <c r="C3" s="33"/>
      <c r="D3" s="33"/>
      <c r="E3" s="33"/>
      <c r="F3" s="33"/>
      <c r="G3" s="259"/>
      <c r="H3" s="33"/>
      <c r="I3" s="37"/>
    </row>
    <row r="4" spans="1:9" ht="13">
      <c r="A4" s="32"/>
      <c r="B4" s="73"/>
      <c r="C4" s="33"/>
      <c r="D4" s="33"/>
      <c r="E4" s="33"/>
      <c r="F4" s="33"/>
      <c r="G4" s="259"/>
      <c r="H4" s="33"/>
      <c r="I4" s="37"/>
    </row>
    <row r="5" spans="1:9" ht="13">
      <c r="A5" s="124"/>
      <c r="B5" s="30" t="s">
        <v>363</v>
      </c>
      <c r="C5" s="30"/>
      <c r="D5" s="30"/>
      <c r="E5" s="30"/>
      <c r="F5" s="30"/>
      <c r="G5" s="65"/>
      <c r="H5" s="30"/>
      <c r="I5" s="37"/>
    </row>
    <row r="6" spans="1:9" ht="15.5">
      <c r="A6" s="32"/>
      <c r="B6" s="126" t="s">
        <v>364</v>
      </c>
      <c r="C6" s="33" t="s">
        <v>335</v>
      </c>
      <c r="D6" s="33"/>
      <c r="E6" s="33"/>
      <c r="F6" s="33"/>
      <c r="G6" s="259" t="s">
        <v>365</v>
      </c>
      <c r="H6" s="336">
        <v>0</v>
      </c>
      <c r="I6" s="37"/>
    </row>
    <row r="7" spans="1:9">
      <c r="A7" s="32"/>
      <c r="B7" s="205"/>
      <c r="C7" s="33"/>
      <c r="D7" s="33"/>
      <c r="E7" s="33"/>
      <c r="F7" s="33"/>
      <c r="G7" s="259"/>
      <c r="H7" s="33"/>
      <c r="I7" s="37"/>
    </row>
    <row r="8" spans="1:9" ht="13">
      <c r="A8" s="127"/>
      <c r="B8" s="73"/>
      <c r="C8" s="30"/>
      <c r="D8" s="33"/>
      <c r="E8" s="33"/>
      <c r="F8" s="33"/>
      <c r="G8" s="33"/>
      <c r="H8" s="259"/>
      <c r="I8" s="37"/>
    </row>
    <row r="9" spans="1:9" ht="15">
      <c r="A9" s="127"/>
      <c r="B9" s="73" t="s">
        <v>366</v>
      </c>
      <c r="C9" s="30" t="s">
        <v>367</v>
      </c>
      <c r="D9" s="33"/>
      <c r="E9" s="73"/>
      <c r="F9" s="33"/>
      <c r="G9" s="65" t="s">
        <v>368</v>
      </c>
      <c r="H9" s="50">
        <f>MAX(0,H6-Livsforsikringsrisiko!I5)</f>
        <v>0</v>
      </c>
      <c r="I9" s="37"/>
    </row>
    <row r="10" spans="1:9" ht="13">
      <c r="A10" s="110"/>
      <c r="B10" s="111"/>
      <c r="C10" s="111"/>
      <c r="D10" s="111"/>
      <c r="E10" s="111"/>
      <c r="F10" s="111"/>
      <c r="G10" s="111"/>
      <c r="H10" s="111"/>
      <c r="I10" s="128"/>
    </row>
  </sheetData>
  <sheetProtection sheet="1" formatCells="0" formatColumns="0" formatRows="0" insertColumns="0" insertHyperlinks="0" deleteColumns="0" sort="0" autoFilter="0" pivotTables="0"/>
  <pageMargins left="0.70866141732283472" right="0.70866141732283472" top="0.74803149606299213" bottom="0.74803149606299213" header="0.31496062992125984" footer="0.31496062992125984"/>
  <pageSetup paperSize="9" scale="55" orientation="portrait" r:id="rId1"/>
  <ignoredErrors>
    <ignoredError sqref="H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84"/>
  <sheetViews>
    <sheetView zoomScaleNormal="100" workbookViewId="0"/>
  </sheetViews>
  <sheetFormatPr baseColWidth="10" defaultColWidth="11.453125" defaultRowHeight="12.5"/>
  <cols>
    <col min="1" max="1" width="5.6328125" style="2" customWidth="1"/>
    <col min="2" max="2" width="7.6328125" style="2" customWidth="1"/>
    <col min="3" max="3" width="38.453125" style="2" customWidth="1"/>
    <col min="4" max="4" width="32.6328125" style="2" customWidth="1"/>
    <col min="5" max="9" width="16" style="2" customWidth="1"/>
    <col min="10" max="10" width="17.90625" style="2" customWidth="1"/>
    <col min="11" max="11" width="16" style="2" customWidth="1"/>
    <col min="12" max="12" width="15.54296875" style="2" customWidth="1"/>
    <col min="13" max="19" width="6.453125" style="2" customWidth="1"/>
    <col min="20" max="16384" width="11.453125" style="2"/>
  </cols>
  <sheetData>
    <row r="1" spans="1:20" ht="13">
      <c r="A1" s="39"/>
      <c r="B1" s="112"/>
      <c r="C1" s="112"/>
      <c r="D1" s="279"/>
      <c r="E1" s="279"/>
      <c r="F1" s="335"/>
      <c r="G1" s="335"/>
      <c r="H1" s="335"/>
      <c r="I1" s="335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95"/>
    </row>
    <row r="2" spans="1:20" ht="15.5">
      <c r="A2" s="32"/>
      <c r="B2" s="23" t="s">
        <v>369</v>
      </c>
      <c r="C2" s="184"/>
      <c r="D2" s="184"/>
      <c r="E2" s="184"/>
      <c r="F2" s="260"/>
      <c r="G2" s="260"/>
      <c r="H2" s="260"/>
      <c r="I2" s="26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95"/>
    </row>
    <row r="3" spans="1:20" ht="13">
      <c r="A3" s="32"/>
      <c r="B3" s="30"/>
      <c r="C3" s="30"/>
      <c r="D3" s="33"/>
      <c r="E3" s="33"/>
      <c r="F3" s="259"/>
      <c r="G3" s="259"/>
      <c r="H3" s="259"/>
      <c r="I3" s="259"/>
      <c r="J3" s="91"/>
      <c r="K3" s="91"/>
      <c r="L3" s="91"/>
      <c r="M3" s="91"/>
      <c r="N3" s="91"/>
      <c r="O3" s="91"/>
      <c r="P3" s="91"/>
      <c r="Q3" s="91"/>
      <c r="R3" s="91"/>
      <c r="S3" s="91"/>
      <c r="T3" s="95"/>
    </row>
    <row r="4" spans="1:20" ht="13">
      <c r="A4" s="32"/>
      <c r="B4" s="131" t="s">
        <v>370</v>
      </c>
      <c r="C4" s="184"/>
      <c r="D4" s="33"/>
      <c r="E4" s="33"/>
      <c r="F4" s="259"/>
      <c r="G4" s="259"/>
      <c r="H4" s="259"/>
      <c r="I4" s="259"/>
      <c r="J4" s="91"/>
      <c r="K4" s="91"/>
      <c r="L4" s="91"/>
      <c r="M4" s="91"/>
      <c r="N4" s="91"/>
      <c r="O4" s="91"/>
      <c r="P4" s="91"/>
      <c r="Q4" s="91"/>
      <c r="R4" s="91"/>
      <c r="S4" s="91"/>
      <c r="T4" s="95"/>
    </row>
    <row r="5" spans="1:20" ht="13">
      <c r="A5" s="32"/>
      <c r="B5" s="113"/>
      <c r="C5" s="33"/>
      <c r="D5" s="33"/>
      <c r="E5" s="33"/>
      <c r="F5" s="259"/>
      <c r="G5" s="259"/>
      <c r="H5" s="259"/>
      <c r="I5" s="259"/>
      <c r="J5" s="91"/>
      <c r="K5" s="91"/>
      <c r="L5" s="91"/>
      <c r="M5" s="91"/>
      <c r="N5" s="91"/>
      <c r="O5" s="91"/>
      <c r="P5" s="91"/>
      <c r="Q5" s="91"/>
      <c r="R5" s="91"/>
      <c r="S5" s="91"/>
      <c r="T5" s="95"/>
    </row>
    <row r="6" spans="1:20" ht="13">
      <c r="A6" s="32"/>
      <c r="B6" s="59" t="s">
        <v>371</v>
      </c>
      <c r="C6" s="33"/>
      <c r="D6" s="33"/>
      <c r="E6" s="33"/>
      <c r="F6" s="259"/>
      <c r="G6" s="259"/>
      <c r="H6" s="259"/>
      <c r="I6" s="259"/>
      <c r="J6" s="91"/>
      <c r="K6" s="91"/>
      <c r="L6" s="91"/>
      <c r="M6" s="91"/>
      <c r="N6" s="91"/>
      <c r="O6" s="91"/>
      <c r="P6" s="91"/>
      <c r="Q6" s="91"/>
      <c r="R6" s="91"/>
      <c r="S6" s="91"/>
      <c r="T6" s="95"/>
    </row>
    <row r="7" spans="1:20" ht="13">
      <c r="A7" s="32"/>
      <c r="B7" s="113"/>
      <c r="C7" s="76"/>
      <c r="D7" s="33"/>
      <c r="E7" s="33"/>
      <c r="F7" s="259"/>
      <c r="G7" s="259"/>
      <c r="H7" s="259"/>
      <c r="I7" s="259"/>
      <c r="J7" s="91"/>
      <c r="K7" s="91"/>
      <c r="L7" s="91"/>
      <c r="M7" s="91"/>
      <c r="N7" s="91"/>
      <c r="O7" s="91"/>
      <c r="P7" s="91"/>
      <c r="Q7" s="91"/>
      <c r="R7" s="91"/>
      <c r="S7" s="91"/>
      <c r="T7" s="95"/>
    </row>
    <row r="8" spans="1:20" ht="45" customHeight="1">
      <c r="A8" s="32"/>
      <c r="B8" s="30" t="s">
        <v>372</v>
      </c>
      <c r="C8" s="315" t="s">
        <v>373</v>
      </c>
      <c r="D8" s="341"/>
      <c r="E8" s="76" t="s">
        <v>374</v>
      </c>
      <c r="F8" s="259"/>
      <c r="G8" s="259"/>
      <c r="H8" s="259"/>
      <c r="I8" s="259"/>
      <c r="J8" s="91"/>
      <c r="K8" s="91"/>
      <c r="L8" s="91"/>
      <c r="M8" s="91"/>
      <c r="N8" s="91"/>
      <c r="O8" s="91"/>
      <c r="P8" s="91"/>
      <c r="Q8" s="91"/>
      <c r="R8" s="91"/>
      <c r="S8" s="91"/>
      <c r="T8" s="95"/>
    </row>
    <row r="9" spans="1:20" ht="44.25" customHeight="1">
      <c r="A9" s="32"/>
      <c r="B9" s="30" t="s">
        <v>375</v>
      </c>
      <c r="C9" s="315" t="s">
        <v>376</v>
      </c>
      <c r="D9" s="341"/>
      <c r="E9" s="76" t="s">
        <v>374</v>
      </c>
      <c r="F9" s="259"/>
      <c r="G9" s="259"/>
      <c r="H9" s="259"/>
      <c r="I9" s="259"/>
      <c r="J9" s="91"/>
      <c r="K9" s="91"/>
      <c r="L9" s="91"/>
      <c r="M9" s="91"/>
      <c r="N9" s="91"/>
      <c r="O9" s="91"/>
      <c r="P9" s="91"/>
      <c r="Q9" s="91"/>
      <c r="R9" s="91"/>
      <c r="S9" s="91"/>
      <c r="T9" s="95"/>
    </row>
    <row r="10" spans="1:20" ht="13">
      <c r="A10" s="132"/>
      <c r="B10" s="133"/>
      <c r="C10" s="76"/>
      <c r="D10" s="76"/>
      <c r="E10" s="76"/>
      <c r="F10" s="134"/>
      <c r="G10" s="134"/>
      <c r="H10" s="134"/>
      <c r="I10" s="134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95"/>
    </row>
    <row r="11" spans="1:20" ht="51.5">
      <c r="A11" s="327"/>
      <c r="B11" s="136" t="s">
        <v>377</v>
      </c>
      <c r="C11" s="315" t="s">
        <v>266</v>
      </c>
      <c r="D11" s="315" t="s">
        <v>211</v>
      </c>
      <c r="E11" s="315" t="s">
        <v>378</v>
      </c>
      <c r="F11" s="315" t="s">
        <v>379</v>
      </c>
      <c r="G11" s="315" t="s">
        <v>668</v>
      </c>
      <c r="H11" s="315" t="s">
        <v>380</v>
      </c>
      <c r="I11" s="315" t="s">
        <v>381</v>
      </c>
      <c r="J11" s="315" t="s">
        <v>382</v>
      </c>
      <c r="K11" s="315" t="s">
        <v>383</v>
      </c>
      <c r="L11" s="137" t="s">
        <v>384</v>
      </c>
      <c r="M11" s="91"/>
      <c r="N11" s="92"/>
      <c r="O11" s="92"/>
      <c r="P11" s="92"/>
      <c r="Q11" s="92"/>
      <c r="R11" s="92"/>
      <c r="S11" s="92"/>
      <c r="T11" s="95"/>
    </row>
    <row r="12" spans="1:20">
      <c r="A12" s="32"/>
      <c r="B12" s="96" t="s">
        <v>385</v>
      </c>
      <c r="C12" s="328"/>
      <c r="D12" s="342"/>
      <c r="E12" s="317"/>
      <c r="F12" s="317"/>
      <c r="G12" s="343"/>
      <c r="H12" s="317"/>
      <c r="I12" s="325">
        <f t="shared" ref="I12:I53" si="0">IF($E$54=0,0,IF(G12="Ja",($D$8-$D$9)*(E12/$E$54),0))</f>
        <v>0</v>
      </c>
      <c r="J12" s="325">
        <f>MAXA(50%*(E12+50%*IF(H12=0,I12,H12))-F12*0.75,0)</f>
        <v>0</v>
      </c>
      <c r="K12" s="325">
        <f>J12^2</f>
        <v>0</v>
      </c>
      <c r="L12" s="138"/>
      <c r="M12" s="91"/>
      <c r="N12" s="91"/>
      <c r="O12" s="91"/>
      <c r="P12" s="91"/>
      <c r="Q12" s="92"/>
      <c r="R12" s="92"/>
      <c r="S12" s="92"/>
      <c r="T12" s="95"/>
    </row>
    <row r="13" spans="1:20">
      <c r="A13" s="32"/>
      <c r="B13" s="97" t="s">
        <v>386</v>
      </c>
      <c r="C13" s="328"/>
      <c r="D13" s="342"/>
      <c r="E13" s="317"/>
      <c r="F13" s="317"/>
      <c r="G13" s="343"/>
      <c r="H13" s="317"/>
      <c r="I13" s="325">
        <f t="shared" si="0"/>
        <v>0</v>
      </c>
      <c r="J13" s="325">
        <f t="shared" ref="J13:J53" si="1">MAXA(50%*(E13+50%*IF(H13=0,I13,H13))-F13*0.75,0)</f>
        <v>0</v>
      </c>
      <c r="K13" s="325">
        <f t="shared" ref="K13:K53" si="2">J13^2</f>
        <v>0</v>
      </c>
      <c r="L13" s="138"/>
      <c r="M13" s="91"/>
      <c r="N13" s="91"/>
      <c r="O13" s="91"/>
      <c r="P13" s="91"/>
      <c r="Q13" s="92"/>
      <c r="R13" s="92"/>
      <c r="S13" s="92"/>
      <c r="T13" s="95"/>
    </row>
    <row r="14" spans="1:20" ht="13">
      <c r="A14" s="32"/>
      <c r="B14" s="30"/>
      <c r="C14" s="328"/>
      <c r="D14" s="342"/>
      <c r="E14" s="317"/>
      <c r="F14" s="317"/>
      <c r="G14" s="343"/>
      <c r="H14" s="317"/>
      <c r="I14" s="325">
        <f t="shared" si="0"/>
        <v>0</v>
      </c>
      <c r="J14" s="325">
        <f t="shared" si="1"/>
        <v>0</v>
      </c>
      <c r="K14" s="325">
        <f t="shared" si="2"/>
        <v>0</v>
      </c>
      <c r="L14" s="138"/>
      <c r="M14" s="91"/>
      <c r="N14" s="91"/>
      <c r="O14" s="91"/>
      <c r="P14" s="91"/>
      <c r="Q14" s="92"/>
      <c r="R14" s="92"/>
      <c r="S14" s="92"/>
      <c r="T14" s="95"/>
    </row>
    <row r="15" spans="1:20" ht="13">
      <c r="A15" s="32"/>
      <c r="B15" s="30"/>
      <c r="C15" s="328"/>
      <c r="D15" s="342"/>
      <c r="E15" s="317"/>
      <c r="F15" s="317"/>
      <c r="G15" s="343"/>
      <c r="H15" s="317"/>
      <c r="I15" s="325">
        <f t="shared" si="0"/>
        <v>0</v>
      </c>
      <c r="J15" s="325">
        <f t="shared" si="1"/>
        <v>0</v>
      </c>
      <c r="K15" s="325">
        <f t="shared" si="2"/>
        <v>0</v>
      </c>
      <c r="L15" s="138"/>
      <c r="M15" s="91"/>
      <c r="N15" s="91"/>
      <c r="O15" s="91"/>
      <c r="P15" s="91"/>
      <c r="Q15" s="92"/>
      <c r="R15" s="92"/>
      <c r="S15" s="92"/>
      <c r="T15" s="95"/>
    </row>
    <row r="16" spans="1:20" ht="13">
      <c r="A16" s="32"/>
      <c r="B16" s="30"/>
      <c r="C16" s="328"/>
      <c r="D16" s="342"/>
      <c r="E16" s="317"/>
      <c r="F16" s="317"/>
      <c r="G16" s="343"/>
      <c r="H16" s="317"/>
      <c r="I16" s="325">
        <f t="shared" si="0"/>
        <v>0</v>
      </c>
      <c r="J16" s="325">
        <f t="shared" si="1"/>
        <v>0</v>
      </c>
      <c r="K16" s="325">
        <f t="shared" si="2"/>
        <v>0</v>
      </c>
      <c r="L16" s="138"/>
      <c r="M16" s="91"/>
      <c r="N16" s="91"/>
      <c r="O16" s="91"/>
      <c r="P16" s="91"/>
      <c r="Q16" s="92"/>
      <c r="R16" s="92"/>
      <c r="S16" s="92"/>
      <c r="T16" s="95"/>
    </row>
    <row r="17" spans="1:20" ht="13">
      <c r="A17" s="32"/>
      <c r="B17" s="30"/>
      <c r="C17" s="328"/>
      <c r="D17" s="342"/>
      <c r="E17" s="317"/>
      <c r="F17" s="317"/>
      <c r="G17" s="343"/>
      <c r="H17" s="317"/>
      <c r="I17" s="325">
        <f t="shared" si="0"/>
        <v>0</v>
      </c>
      <c r="J17" s="325">
        <f t="shared" si="1"/>
        <v>0</v>
      </c>
      <c r="K17" s="325">
        <f t="shared" si="2"/>
        <v>0</v>
      </c>
      <c r="L17" s="138"/>
      <c r="M17" s="91"/>
      <c r="N17" s="91"/>
      <c r="O17" s="91"/>
      <c r="P17" s="91"/>
      <c r="Q17" s="92"/>
      <c r="R17" s="92"/>
      <c r="S17" s="92"/>
      <c r="T17" s="95"/>
    </row>
    <row r="18" spans="1:20" ht="13">
      <c r="A18" s="32"/>
      <c r="B18" s="30"/>
      <c r="C18" s="328"/>
      <c r="D18" s="342"/>
      <c r="E18" s="317"/>
      <c r="F18" s="317"/>
      <c r="G18" s="343"/>
      <c r="H18" s="317"/>
      <c r="I18" s="325">
        <f t="shared" si="0"/>
        <v>0</v>
      </c>
      <c r="J18" s="325">
        <f t="shared" si="1"/>
        <v>0</v>
      </c>
      <c r="K18" s="325">
        <f t="shared" si="2"/>
        <v>0</v>
      </c>
      <c r="L18" s="138"/>
      <c r="M18" s="91"/>
      <c r="N18" s="91"/>
      <c r="O18" s="91"/>
      <c r="P18" s="91"/>
      <c r="Q18" s="92"/>
      <c r="R18" s="92"/>
      <c r="S18" s="92"/>
      <c r="T18" s="95"/>
    </row>
    <row r="19" spans="1:20" ht="13">
      <c r="A19" s="32"/>
      <c r="B19" s="30"/>
      <c r="C19" s="344"/>
      <c r="D19" s="342"/>
      <c r="E19" s="317"/>
      <c r="F19" s="317"/>
      <c r="G19" s="343"/>
      <c r="H19" s="317"/>
      <c r="I19" s="325">
        <f t="shared" si="0"/>
        <v>0</v>
      </c>
      <c r="J19" s="325">
        <f t="shared" si="1"/>
        <v>0</v>
      </c>
      <c r="K19" s="325">
        <f t="shared" si="2"/>
        <v>0</v>
      </c>
      <c r="L19" s="138"/>
      <c r="M19" s="91"/>
      <c r="N19" s="91"/>
      <c r="O19" s="91"/>
      <c r="P19" s="91"/>
      <c r="Q19" s="92"/>
      <c r="R19" s="92"/>
      <c r="S19" s="92"/>
      <c r="T19" s="95"/>
    </row>
    <row r="20" spans="1:20" ht="13">
      <c r="A20" s="32"/>
      <c r="B20" s="30"/>
      <c r="C20" s="328"/>
      <c r="D20" s="342"/>
      <c r="E20" s="317"/>
      <c r="F20" s="317"/>
      <c r="G20" s="343"/>
      <c r="H20" s="317"/>
      <c r="I20" s="325">
        <f t="shared" si="0"/>
        <v>0</v>
      </c>
      <c r="J20" s="325">
        <f t="shared" si="1"/>
        <v>0</v>
      </c>
      <c r="K20" s="325">
        <f t="shared" si="2"/>
        <v>0</v>
      </c>
      <c r="L20" s="138"/>
      <c r="M20" s="91"/>
      <c r="N20" s="91"/>
      <c r="O20" s="91"/>
      <c r="P20" s="91"/>
      <c r="Q20" s="92"/>
      <c r="R20" s="92"/>
      <c r="S20" s="92"/>
      <c r="T20" s="95"/>
    </row>
    <row r="21" spans="1:20" ht="13">
      <c r="A21" s="32"/>
      <c r="B21" s="30"/>
      <c r="C21" s="328"/>
      <c r="D21" s="342"/>
      <c r="E21" s="317"/>
      <c r="F21" s="317"/>
      <c r="G21" s="343"/>
      <c r="H21" s="317"/>
      <c r="I21" s="325">
        <f t="shared" si="0"/>
        <v>0</v>
      </c>
      <c r="J21" s="325">
        <f t="shared" si="1"/>
        <v>0</v>
      </c>
      <c r="K21" s="325">
        <f t="shared" si="2"/>
        <v>0</v>
      </c>
      <c r="L21" s="138"/>
      <c r="M21" s="91"/>
      <c r="N21" s="91"/>
      <c r="O21" s="91"/>
      <c r="P21" s="91"/>
      <c r="Q21" s="92"/>
      <c r="R21" s="92"/>
      <c r="S21" s="92"/>
      <c r="T21" s="95"/>
    </row>
    <row r="22" spans="1:20" ht="13.5" customHeight="1">
      <c r="A22" s="32"/>
      <c r="B22" s="30"/>
      <c r="C22" s="328"/>
      <c r="D22" s="342"/>
      <c r="E22" s="317"/>
      <c r="F22" s="317"/>
      <c r="G22" s="343"/>
      <c r="H22" s="317"/>
      <c r="I22" s="325">
        <f t="shared" si="0"/>
        <v>0</v>
      </c>
      <c r="J22" s="325">
        <f t="shared" si="1"/>
        <v>0</v>
      </c>
      <c r="K22" s="325">
        <f t="shared" si="2"/>
        <v>0</v>
      </c>
      <c r="L22" s="138"/>
      <c r="M22" s="91"/>
      <c r="N22" s="91"/>
      <c r="O22" s="91"/>
      <c r="P22" s="91"/>
      <c r="Q22" s="92"/>
      <c r="R22" s="92"/>
      <c r="S22" s="92"/>
      <c r="T22" s="95"/>
    </row>
    <row r="23" spans="1:20" ht="12.75" hidden="1" customHeight="1">
      <c r="A23" s="32"/>
      <c r="B23" s="30"/>
      <c r="C23" s="328"/>
      <c r="D23" s="342"/>
      <c r="E23" s="317"/>
      <c r="F23" s="317"/>
      <c r="G23" s="343"/>
      <c r="H23" s="317"/>
      <c r="I23" s="325">
        <f t="shared" si="0"/>
        <v>0</v>
      </c>
      <c r="J23" s="325">
        <f t="shared" si="1"/>
        <v>0</v>
      </c>
      <c r="K23" s="325">
        <f t="shared" si="2"/>
        <v>0</v>
      </c>
      <c r="L23" s="138"/>
      <c r="M23" s="138"/>
      <c r="N23" s="91"/>
      <c r="O23" s="91"/>
      <c r="P23" s="91"/>
      <c r="Q23" s="91"/>
      <c r="R23" s="91"/>
      <c r="S23" s="91"/>
      <c r="T23" s="95"/>
    </row>
    <row r="24" spans="1:20" ht="12.75" hidden="1" customHeight="1">
      <c r="A24" s="32"/>
      <c r="B24" s="30"/>
      <c r="C24" s="328"/>
      <c r="D24" s="342"/>
      <c r="E24" s="317"/>
      <c r="F24" s="317"/>
      <c r="G24" s="343"/>
      <c r="H24" s="317"/>
      <c r="I24" s="325">
        <f t="shared" si="0"/>
        <v>0</v>
      </c>
      <c r="J24" s="325">
        <f t="shared" si="1"/>
        <v>0</v>
      </c>
      <c r="K24" s="325">
        <f t="shared" si="2"/>
        <v>0</v>
      </c>
      <c r="L24" s="138"/>
      <c r="M24" s="91"/>
      <c r="N24" s="91"/>
      <c r="O24" s="91"/>
      <c r="P24" s="91"/>
      <c r="Q24" s="91"/>
      <c r="R24" s="91"/>
      <c r="S24" s="91"/>
      <c r="T24" s="95"/>
    </row>
    <row r="25" spans="1:20" ht="12.75" hidden="1" customHeight="1">
      <c r="A25" s="32"/>
      <c r="B25" s="30"/>
      <c r="C25" s="328"/>
      <c r="D25" s="342"/>
      <c r="E25" s="317"/>
      <c r="F25" s="317"/>
      <c r="G25" s="343"/>
      <c r="H25" s="317"/>
      <c r="I25" s="325">
        <f t="shared" si="0"/>
        <v>0</v>
      </c>
      <c r="J25" s="325">
        <f t="shared" si="1"/>
        <v>0</v>
      </c>
      <c r="K25" s="325">
        <f t="shared" si="2"/>
        <v>0</v>
      </c>
      <c r="L25" s="138"/>
      <c r="M25" s="91"/>
      <c r="N25" s="91"/>
      <c r="O25" s="91"/>
      <c r="P25" s="91"/>
      <c r="Q25" s="91"/>
      <c r="R25" s="91"/>
      <c r="S25" s="91"/>
      <c r="T25" s="95"/>
    </row>
    <row r="26" spans="1:20" ht="12.75" hidden="1" customHeight="1">
      <c r="A26" s="32"/>
      <c r="B26" s="30"/>
      <c r="C26" s="328"/>
      <c r="D26" s="342"/>
      <c r="E26" s="317"/>
      <c r="F26" s="317"/>
      <c r="G26" s="343"/>
      <c r="H26" s="317"/>
      <c r="I26" s="325">
        <f t="shared" si="0"/>
        <v>0</v>
      </c>
      <c r="J26" s="325">
        <f t="shared" si="1"/>
        <v>0</v>
      </c>
      <c r="K26" s="325">
        <f t="shared" si="2"/>
        <v>0</v>
      </c>
      <c r="L26" s="138"/>
      <c r="M26" s="91"/>
      <c r="N26" s="91"/>
      <c r="O26" s="91"/>
      <c r="P26" s="91"/>
      <c r="Q26" s="91"/>
      <c r="R26" s="91"/>
      <c r="S26" s="91"/>
      <c r="T26" s="95"/>
    </row>
    <row r="27" spans="1:20" ht="12.75" hidden="1" customHeight="1">
      <c r="A27" s="32"/>
      <c r="B27" s="30"/>
      <c r="C27" s="328"/>
      <c r="D27" s="342"/>
      <c r="E27" s="317"/>
      <c r="F27" s="317"/>
      <c r="G27" s="343"/>
      <c r="H27" s="317"/>
      <c r="I27" s="325">
        <f t="shared" si="0"/>
        <v>0</v>
      </c>
      <c r="J27" s="325">
        <f t="shared" si="1"/>
        <v>0</v>
      </c>
      <c r="K27" s="325">
        <f t="shared" si="2"/>
        <v>0</v>
      </c>
      <c r="L27" s="138"/>
      <c r="M27" s="91"/>
      <c r="N27" s="91"/>
      <c r="O27" s="91"/>
      <c r="P27" s="91"/>
      <c r="Q27" s="91"/>
      <c r="R27" s="91"/>
      <c r="S27" s="91"/>
      <c r="T27" s="95"/>
    </row>
    <row r="28" spans="1:20" ht="12.75" hidden="1" customHeight="1">
      <c r="A28" s="32"/>
      <c r="B28" s="30"/>
      <c r="C28" s="328"/>
      <c r="D28" s="342"/>
      <c r="E28" s="317"/>
      <c r="F28" s="317"/>
      <c r="G28" s="343"/>
      <c r="H28" s="317"/>
      <c r="I28" s="325">
        <f t="shared" si="0"/>
        <v>0</v>
      </c>
      <c r="J28" s="325">
        <f t="shared" si="1"/>
        <v>0</v>
      </c>
      <c r="K28" s="325">
        <f t="shared" si="2"/>
        <v>0</v>
      </c>
      <c r="L28" s="138"/>
      <c r="M28" s="91"/>
      <c r="N28" s="91"/>
      <c r="O28" s="91"/>
      <c r="P28" s="91"/>
      <c r="Q28" s="91"/>
      <c r="R28" s="91"/>
      <c r="S28" s="91"/>
      <c r="T28" s="95"/>
    </row>
    <row r="29" spans="1:20" ht="12.75" hidden="1" customHeight="1">
      <c r="A29" s="32"/>
      <c r="B29" s="30"/>
      <c r="C29" s="328"/>
      <c r="D29" s="342"/>
      <c r="E29" s="317"/>
      <c r="F29" s="317"/>
      <c r="G29" s="343"/>
      <c r="H29" s="317"/>
      <c r="I29" s="325">
        <f t="shared" si="0"/>
        <v>0</v>
      </c>
      <c r="J29" s="325">
        <f t="shared" si="1"/>
        <v>0</v>
      </c>
      <c r="K29" s="325">
        <f t="shared" si="2"/>
        <v>0</v>
      </c>
      <c r="L29" s="138"/>
      <c r="M29" s="91"/>
      <c r="N29" s="91"/>
      <c r="O29" s="91"/>
      <c r="P29" s="91"/>
      <c r="Q29" s="91"/>
      <c r="R29" s="91"/>
      <c r="S29" s="91"/>
      <c r="T29" s="95"/>
    </row>
    <row r="30" spans="1:20" ht="12.75" hidden="1" customHeight="1">
      <c r="A30" s="32"/>
      <c r="B30" s="30"/>
      <c r="C30" s="328"/>
      <c r="D30" s="342"/>
      <c r="E30" s="317"/>
      <c r="F30" s="317"/>
      <c r="G30" s="343"/>
      <c r="H30" s="317"/>
      <c r="I30" s="325">
        <f t="shared" si="0"/>
        <v>0</v>
      </c>
      <c r="J30" s="325">
        <f t="shared" si="1"/>
        <v>0</v>
      </c>
      <c r="K30" s="325">
        <f t="shared" si="2"/>
        <v>0</v>
      </c>
      <c r="L30" s="138"/>
      <c r="M30" s="91"/>
      <c r="N30" s="91"/>
      <c r="O30" s="91"/>
      <c r="P30" s="91"/>
      <c r="Q30" s="91"/>
      <c r="R30" s="91"/>
      <c r="S30" s="91"/>
      <c r="T30" s="95"/>
    </row>
    <row r="31" spans="1:20" ht="12.75" hidden="1" customHeight="1">
      <c r="A31" s="32"/>
      <c r="B31" s="30"/>
      <c r="C31" s="328"/>
      <c r="D31" s="342"/>
      <c r="E31" s="317"/>
      <c r="F31" s="317"/>
      <c r="G31" s="343"/>
      <c r="H31" s="317"/>
      <c r="I31" s="325">
        <f t="shared" si="0"/>
        <v>0</v>
      </c>
      <c r="J31" s="325">
        <f t="shared" si="1"/>
        <v>0</v>
      </c>
      <c r="K31" s="325">
        <f t="shared" si="2"/>
        <v>0</v>
      </c>
      <c r="L31" s="138"/>
      <c r="M31" s="91"/>
      <c r="N31" s="91"/>
      <c r="O31" s="91"/>
      <c r="P31" s="91"/>
      <c r="Q31" s="91"/>
      <c r="R31" s="91"/>
      <c r="S31" s="91"/>
      <c r="T31" s="95"/>
    </row>
    <row r="32" spans="1:20" ht="12.75" hidden="1" customHeight="1">
      <c r="A32" s="32"/>
      <c r="B32" s="30"/>
      <c r="C32" s="328"/>
      <c r="D32" s="342"/>
      <c r="E32" s="317"/>
      <c r="F32" s="317"/>
      <c r="G32" s="343"/>
      <c r="H32" s="317"/>
      <c r="I32" s="325">
        <f t="shared" si="0"/>
        <v>0</v>
      </c>
      <c r="J32" s="325">
        <f t="shared" si="1"/>
        <v>0</v>
      </c>
      <c r="K32" s="325">
        <f t="shared" si="2"/>
        <v>0</v>
      </c>
      <c r="L32" s="138"/>
      <c r="M32" s="91"/>
      <c r="N32" s="91"/>
      <c r="O32" s="91"/>
      <c r="P32" s="91"/>
      <c r="Q32" s="91"/>
      <c r="R32" s="91"/>
      <c r="S32" s="91"/>
      <c r="T32" s="95"/>
    </row>
    <row r="33" spans="1:20" ht="12.75" hidden="1" customHeight="1">
      <c r="A33" s="32"/>
      <c r="B33" s="30"/>
      <c r="C33" s="328"/>
      <c r="D33" s="342"/>
      <c r="E33" s="317"/>
      <c r="F33" s="317"/>
      <c r="G33" s="343"/>
      <c r="H33" s="317"/>
      <c r="I33" s="325">
        <f t="shared" si="0"/>
        <v>0</v>
      </c>
      <c r="J33" s="325">
        <f t="shared" si="1"/>
        <v>0</v>
      </c>
      <c r="K33" s="325">
        <f t="shared" si="2"/>
        <v>0</v>
      </c>
      <c r="L33" s="138"/>
      <c r="M33" s="91"/>
      <c r="N33" s="91"/>
      <c r="O33" s="91"/>
      <c r="P33" s="91"/>
      <c r="Q33" s="91"/>
      <c r="R33" s="91"/>
      <c r="S33" s="91"/>
      <c r="T33" s="95"/>
    </row>
    <row r="34" spans="1:20" ht="12.75" hidden="1" customHeight="1">
      <c r="A34" s="32"/>
      <c r="B34" s="30"/>
      <c r="C34" s="328"/>
      <c r="D34" s="342"/>
      <c r="E34" s="317"/>
      <c r="F34" s="317"/>
      <c r="G34" s="343"/>
      <c r="H34" s="317"/>
      <c r="I34" s="325">
        <f t="shared" si="0"/>
        <v>0</v>
      </c>
      <c r="J34" s="325">
        <f t="shared" si="1"/>
        <v>0</v>
      </c>
      <c r="K34" s="325">
        <f t="shared" si="2"/>
        <v>0</v>
      </c>
      <c r="L34" s="138"/>
      <c r="M34" s="91"/>
      <c r="N34" s="91"/>
      <c r="O34" s="91"/>
      <c r="P34" s="91"/>
      <c r="Q34" s="91"/>
      <c r="R34" s="91"/>
      <c r="S34" s="91"/>
      <c r="T34" s="95"/>
    </row>
    <row r="35" spans="1:20" ht="12.75" hidden="1" customHeight="1">
      <c r="A35" s="32"/>
      <c r="B35" s="30"/>
      <c r="C35" s="328"/>
      <c r="D35" s="342"/>
      <c r="E35" s="317"/>
      <c r="F35" s="317"/>
      <c r="G35" s="343"/>
      <c r="H35" s="317"/>
      <c r="I35" s="325">
        <f t="shared" si="0"/>
        <v>0</v>
      </c>
      <c r="J35" s="325">
        <f t="shared" si="1"/>
        <v>0</v>
      </c>
      <c r="K35" s="325">
        <f t="shared" si="2"/>
        <v>0</v>
      </c>
      <c r="L35" s="138"/>
      <c r="M35" s="91"/>
      <c r="N35" s="91"/>
      <c r="O35" s="91"/>
      <c r="P35" s="91"/>
      <c r="Q35" s="91"/>
      <c r="R35" s="91"/>
      <c r="S35" s="91"/>
      <c r="T35" s="95"/>
    </row>
    <row r="36" spans="1:20" ht="12.75" hidden="1" customHeight="1">
      <c r="A36" s="32"/>
      <c r="B36" s="30"/>
      <c r="C36" s="328"/>
      <c r="D36" s="342"/>
      <c r="E36" s="317"/>
      <c r="F36" s="317"/>
      <c r="G36" s="343"/>
      <c r="H36" s="317"/>
      <c r="I36" s="325">
        <f t="shared" si="0"/>
        <v>0</v>
      </c>
      <c r="J36" s="325">
        <f t="shared" si="1"/>
        <v>0</v>
      </c>
      <c r="K36" s="325">
        <f t="shared" si="2"/>
        <v>0</v>
      </c>
      <c r="L36" s="138"/>
      <c r="M36" s="91"/>
      <c r="N36" s="91"/>
      <c r="O36" s="91"/>
      <c r="P36" s="91"/>
      <c r="Q36" s="91"/>
      <c r="R36" s="91"/>
      <c r="S36" s="91"/>
      <c r="T36" s="95"/>
    </row>
    <row r="37" spans="1:20" ht="12.75" hidden="1" customHeight="1">
      <c r="A37" s="32"/>
      <c r="B37" s="30"/>
      <c r="C37" s="328"/>
      <c r="D37" s="342"/>
      <c r="E37" s="317"/>
      <c r="F37" s="317"/>
      <c r="G37" s="343"/>
      <c r="H37" s="317"/>
      <c r="I37" s="325">
        <f t="shared" si="0"/>
        <v>0</v>
      </c>
      <c r="J37" s="325">
        <f t="shared" si="1"/>
        <v>0</v>
      </c>
      <c r="K37" s="325">
        <f t="shared" si="2"/>
        <v>0</v>
      </c>
      <c r="L37" s="138"/>
      <c r="M37" s="91"/>
      <c r="N37" s="91"/>
      <c r="O37" s="91"/>
      <c r="P37" s="91"/>
      <c r="Q37" s="91"/>
      <c r="R37" s="91"/>
      <c r="S37" s="91"/>
      <c r="T37" s="95"/>
    </row>
    <row r="38" spans="1:20" ht="12.75" hidden="1" customHeight="1">
      <c r="A38" s="32"/>
      <c r="B38" s="30"/>
      <c r="C38" s="328"/>
      <c r="D38" s="342"/>
      <c r="E38" s="317"/>
      <c r="F38" s="317"/>
      <c r="G38" s="343"/>
      <c r="H38" s="317"/>
      <c r="I38" s="325">
        <f t="shared" si="0"/>
        <v>0</v>
      </c>
      <c r="J38" s="325">
        <f t="shared" si="1"/>
        <v>0</v>
      </c>
      <c r="K38" s="325">
        <f t="shared" si="2"/>
        <v>0</v>
      </c>
      <c r="L38" s="138"/>
      <c r="M38" s="91"/>
      <c r="N38" s="91"/>
      <c r="O38" s="91"/>
      <c r="P38" s="91"/>
      <c r="Q38" s="91"/>
      <c r="R38" s="91"/>
      <c r="S38" s="91"/>
      <c r="T38" s="95"/>
    </row>
    <row r="39" spans="1:20" ht="12.75" hidden="1" customHeight="1">
      <c r="A39" s="32"/>
      <c r="B39" s="30"/>
      <c r="C39" s="328"/>
      <c r="D39" s="342"/>
      <c r="E39" s="317"/>
      <c r="F39" s="317"/>
      <c r="G39" s="343"/>
      <c r="H39" s="317"/>
      <c r="I39" s="325">
        <f t="shared" si="0"/>
        <v>0</v>
      </c>
      <c r="J39" s="325">
        <f t="shared" si="1"/>
        <v>0</v>
      </c>
      <c r="K39" s="325">
        <f t="shared" si="2"/>
        <v>0</v>
      </c>
      <c r="L39" s="138"/>
      <c r="M39" s="91"/>
      <c r="N39" s="91"/>
      <c r="O39" s="91"/>
      <c r="P39" s="91"/>
      <c r="Q39" s="91"/>
      <c r="R39" s="91"/>
      <c r="S39" s="91"/>
      <c r="T39" s="95"/>
    </row>
    <row r="40" spans="1:20" ht="12.75" hidden="1" customHeight="1">
      <c r="A40" s="32"/>
      <c r="B40" s="30"/>
      <c r="C40" s="328"/>
      <c r="D40" s="342"/>
      <c r="E40" s="317"/>
      <c r="F40" s="317"/>
      <c r="G40" s="343"/>
      <c r="H40" s="317"/>
      <c r="I40" s="325">
        <f t="shared" si="0"/>
        <v>0</v>
      </c>
      <c r="J40" s="325">
        <f t="shared" si="1"/>
        <v>0</v>
      </c>
      <c r="K40" s="325">
        <f t="shared" si="2"/>
        <v>0</v>
      </c>
      <c r="L40" s="138"/>
      <c r="M40" s="91"/>
      <c r="N40" s="91"/>
      <c r="O40" s="91"/>
      <c r="P40" s="91"/>
      <c r="Q40" s="91"/>
      <c r="R40" s="91"/>
      <c r="S40" s="91"/>
      <c r="T40" s="95"/>
    </row>
    <row r="41" spans="1:20" ht="12.75" hidden="1" customHeight="1">
      <c r="A41" s="32"/>
      <c r="B41" s="30"/>
      <c r="C41" s="328"/>
      <c r="D41" s="342"/>
      <c r="E41" s="317"/>
      <c r="F41" s="317"/>
      <c r="G41" s="343"/>
      <c r="H41" s="317"/>
      <c r="I41" s="325">
        <f t="shared" si="0"/>
        <v>0</v>
      </c>
      <c r="J41" s="325">
        <f t="shared" si="1"/>
        <v>0</v>
      </c>
      <c r="K41" s="325">
        <f t="shared" si="2"/>
        <v>0</v>
      </c>
      <c r="L41" s="138"/>
      <c r="M41" s="91"/>
      <c r="N41" s="91"/>
      <c r="O41" s="91"/>
      <c r="P41" s="91"/>
      <c r="Q41" s="91"/>
      <c r="R41" s="91"/>
      <c r="S41" s="91"/>
      <c r="T41" s="95"/>
    </row>
    <row r="42" spans="1:20" ht="12.75" hidden="1" customHeight="1">
      <c r="A42" s="32"/>
      <c r="B42" s="30"/>
      <c r="C42" s="328"/>
      <c r="D42" s="342"/>
      <c r="E42" s="317"/>
      <c r="F42" s="317"/>
      <c r="G42" s="343"/>
      <c r="H42" s="317"/>
      <c r="I42" s="325">
        <f t="shared" si="0"/>
        <v>0</v>
      </c>
      <c r="J42" s="325">
        <f t="shared" si="1"/>
        <v>0</v>
      </c>
      <c r="K42" s="325">
        <f t="shared" si="2"/>
        <v>0</v>
      </c>
      <c r="L42" s="138"/>
      <c r="M42" s="91"/>
      <c r="N42" s="91"/>
      <c r="O42" s="91"/>
      <c r="P42" s="91"/>
      <c r="Q42" s="91"/>
      <c r="R42" s="91"/>
      <c r="S42" s="91"/>
      <c r="T42" s="95"/>
    </row>
    <row r="43" spans="1:20" ht="12.75" hidden="1" customHeight="1">
      <c r="A43" s="32"/>
      <c r="B43" s="30"/>
      <c r="C43" s="328"/>
      <c r="D43" s="342"/>
      <c r="E43" s="317"/>
      <c r="F43" s="317"/>
      <c r="G43" s="343"/>
      <c r="H43" s="317"/>
      <c r="I43" s="325">
        <f t="shared" si="0"/>
        <v>0</v>
      </c>
      <c r="J43" s="325">
        <f t="shared" si="1"/>
        <v>0</v>
      </c>
      <c r="K43" s="325">
        <f t="shared" si="2"/>
        <v>0</v>
      </c>
      <c r="L43" s="138"/>
      <c r="M43" s="91"/>
      <c r="N43" s="91"/>
      <c r="O43" s="91"/>
      <c r="P43" s="91"/>
      <c r="Q43" s="91"/>
      <c r="R43" s="91"/>
      <c r="S43" s="91"/>
      <c r="T43" s="95"/>
    </row>
    <row r="44" spans="1:20" ht="12.75" hidden="1" customHeight="1">
      <c r="A44" s="32"/>
      <c r="B44" s="30"/>
      <c r="C44" s="328"/>
      <c r="D44" s="342"/>
      <c r="E44" s="317"/>
      <c r="F44" s="317"/>
      <c r="G44" s="343"/>
      <c r="H44" s="317"/>
      <c r="I44" s="325">
        <f t="shared" si="0"/>
        <v>0</v>
      </c>
      <c r="J44" s="325">
        <f t="shared" si="1"/>
        <v>0</v>
      </c>
      <c r="K44" s="325">
        <f t="shared" si="2"/>
        <v>0</v>
      </c>
      <c r="L44" s="138"/>
      <c r="M44" s="91"/>
      <c r="N44" s="91"/>
      <c r="O44" s="91"/>
      <c r="P44" s="91"/>
      <c r="Q44" s="91"/>
      <c r="R44" s="91"/>
      <c r="S44" s="91"/>
      <c r="T44" s="95"/>
    </row>
    <row r="45" spans="1:20" ht="12.75" hidden="1" customHeight="1">
      <c r="A45" s="32"/>
      <c r="B45" s="30"/>
      <c r="C45" s="328"/>
      <c r="D45" s="342"/>
      <c r="E45" s="317"/>
      <c r="F45" s="317"/>
      <c r="G45" s="343"/>
      <c r="H45" s="317"/>
      <c r="I45" s="325">
        <f t="shared" si="0"/>
        <v>0</v>
      </c>
      <c r="J45" s="325">
        <f t="shared" si="1"/>
        <v>0</v>
      </c>
      <c r="K45" s="325">
        <f t="shared" si="2"/>
        <v>0</v>
      </c>
      <c r="L45" s="138"/>
      <c r="M45" s="91"/>
      <c r="N45" s="91"/>
      <c r="O45" s="91"/>
      <c r="P45" s="91"/>
      <c r="Q45" s="91"/>
      <c r="R45" s="91"/>
      <c r="S45" s="91"/>
      <c r="T45" s="95"/>
    </row>
    <row r="46" spans="1:20" ht="12.75" hidden="1" customHeight="1">
      <c r="A46" s="32"/>
      <c r="B46" s="30"/>
      <c r="C46" s="328"/>
      <c r="D46" s="342"/>
      <c r="E46" s="317"/>
      <c r="F46" s="317"/>
      <c r="G46" s="343"/>
      <c r="H46" s="317"/>
      <c r="I46" s="325">
        <f t="shared" si="0"/>
        <v>0</v>
      </c>
      <c r="J46" s="325">
        <f t="shared" si="1"/>
        <v>0</v>
      </c>
      <c r="K46" s="325">
        <f t="shared" si="2"/>
        <v>0</v>
      </c>
      <c r="L46" s="138"/>
      <c r="M46" s="91"/>
      <c r="N46" s="91"/>
      <c r="O46" s="91"/>
      <c r="P46" s="91"/>
      <c r="Q46" s="91"/>
      <c r="R46" s="91"/>
      <c r="S46" s="91"/>
      <c r="T46" s="95"/>
    </row>
    <row r="47" spans="1:20" ht="12.75" hidden="1" customHeight="1">
      <c r="A47" s="32"/>
      <c r="B47" s="30"/>
      <c r="C47" s="328"/>
      <c r="D47" s="342"/>
      <c r="E47" s="317"/>
      <c r="F47" s="317"/>
      <c r="G47" s="343"/>
      <c r="H47" s="317"/>
      <c r="I47" s="325">
        <f t="shared" si="0"/>
        <v>0</v>
      </c>
      <c r="J47" s="325">
        <f t="shared" si="1"/>
        <v>0</v>
      </c>
      <c r="K47" s="325">
        <f t="shared" si="2"/>
        <v>0</v>
      </c>
      <c r="L47" s="138"/>
      <c r="M47" s="91"/>
      <c r="N47" s="91"/>
      <c r="O47" s="91"/>
      <c r="P47" s="91"/>
      <c r="Q47" s="91"/>
      <c r="R47" s="91"/>
      <c r="S47" s="91"/>
      <c r="T47" s="95"/>
    </row>
    <row r="48" spans="1:20" ht="12.75" hidden="1" customHeight="1">
      <c r="A48" s="32"/>
      <c r="B48" s="30"/>
      <c r="C48" s="328"/>
      <c r="D48" s="342"/>
      <c r="E48" s="317"/>
      <c r="F48" s="317"/>
      <c r="G48" s="343"/>
      <c r="H48" s="317"/>
      <c r="I48" s="325">
        <f t="shared" si="0"/>
        <v>0</v>
      </c>
      <c r="J48" s="325">
        <f t="shared" si="1"/>
        <v>0</v>
      </c>
      <c r="K48" s="325">
        <f t="shared" si="2"/>
        <v>0</v>
      </c>
      <c r="L48" s="138"/>
      <c r="M48" s="91"/>
      <c r="N48" s="91"/>
      <c r="O48" s="91"/>
      <c r="P48" s="91"/>
      <c r="Q48" s="91"/>
      <c r="R48" s="91"/>
      <c r="S48" s="91"/>
      <c r="T48" s="95"/>
    </row>
    <row r="49" spans="1:20" ht="12.75" hidden="1" customHeight="1">
      <c r="A49" s="32"/>
      <c r="B49" s="30"/>
      <c r="C49" s="328"/>
      <c r="D49" s="342"/>
      <c r="E49" s="317"/>
      <c r="F49" s="317"/>
      <c r="G49" s="343"/>
      <c r="H49" s="317"/>
      <c r="I49" s="325">
        <f t="shared" si="0"/>
        <v>0</v>
      </c>
      <c r="J49" s="325">
        <f t="shared" si="1"/>
        <v>0</v>
      </c>
      <c r="K49" s="325">
        <f t="shared" si="2"/>
        <v>0</v>
      </c>
      <c r="L49" s="138"/>
      <c r="M49" s="91"/>
      <c r="N49" s="91"/>
      <c r="O49" s="91"/>
      <c r="P49" s="91"/>
      <c r="Q49" s="91"/>
      <c r="R49" s="91"/>
      <c r="S49" s="91"/>
      <c r="T49" s="95"/>
    </row>
    <row r="50" spans="1:20" ht="12.75" hidden="1" customHeight="1">
      <c r="A50" s="32"/>
      <c r="B50" s="30"/>
      <c r="C50" s="328"/>
      <c r="D50" s="342"/>
      <c r="E50" s="317"/>
      <c r="F50" s="317"/>
      <c r="G50" s="343"/>
      <c r="H50" s="317"/>
      <c r="I50" s="325">
        <f t="shared" si="0"/>
        <v>0</v>
      </c>
      <c r="J50" s="325">
        <f t="shared" si="1"/>
        <v>0</v>
      </c>
      <c r="K50" s="325">
        <f t="shared" si="2"/>
        <v>0</v>
      </c>
      <c r="L50" s="138"/>
      <c r="M50" s="91"/>
      <c r="N50" s="91"/>
      <c r="O50" s="91"/>
      <c r="P50" s="91"/>
      <c r="Q50" s="91"/>
      <c r="R50" s="91"/>
      <c r="S50" s="91"/>
      <c r="T50" s="95"/>
    </row>
    <row r="51" spans="1:20" ht="12.75" hidden="1" customHeight="1">
      <c r="A51" s="32"/>
      <c r="B51" s="30"/>
      <c r="C51" s="328"/>
      <c r="D51" s="342"/>
      <c r="E51" s="317"/>
      <c r="F51" s="317"/>
      <c r="G51" s="343"/>
      <c r="H51" s="317"/>
      <c r="I51" s="325">
        <f t="shared" si="0"/>
        <v>0</v>
      </c>
      <c r="J51" s="325">
        <f t="shared" si="1"/>
        <v>0</v>
      </c>
      <c r="K51" s="325">
        <f t="shared" si="2"/>
        <v>0</v>
      </c>
      <c r="L51" s="138"/>
      <c r="M51" s="91"/>
      <c r="N51" s="91"/>
      <c r="O51" s="91"/>
      <c r="P51" s="91"/>
      <c r="Q51" s="91"/>
      <c r="R51" s="91"/>
      <c r="S51" s="91"/>
      <c r="T51" s="95"/>
    </row>
    <row r="52" spans="1:20" ht="12.75" hidden="1" customHeight="1">
      <c r="A52" s="32"/>
      <c r="B52" s="30"/>
      <c r="C52" s="328"/>
      <c r="D52" s="342"/>
      <c r="E52" s="317"/>
      <c r="F52" s="317"/>
      <c r="G52" s="343"/>
      <c r="H52" s="317"/>
      <c r="I52" s="325">
        <f t="shared" si="0"/>
        <v>0</v>
      </c>
      <c r="J52" s="325">
        <f t="shared" si="1"/>
        <v>0</v>
      </c>
      <c r="K52" s="325">
        <f t="shared" si="2"/>
        <v>0</v>
      </c>
      <c r="L52" s="138"/>
      <c r="M52" s="91"/>
      <c r="N52" s="91"/>
      <c r="O52" s="91"/>
      <c r="P52" s="91"/>
      <c r="Q52" s="91"/>
      <c r="R52" s="91"/>
      <c r="S52" s="91"/>
      <c r="T52" s="95"/>
    </row>
    <row r="53" spans="1:20" ht="12.75" hidden="1" customHeight="1">
      <c r="A53" s="32"/>
      <c r="B53" s="30"/>
      <c r="C53" s="328"/>
      <c r="D53" s="342"/>
      <c r="E53" s="317"/>
      <c r="F53" s="317"/>
      <c r="G53" s="343"/>
      <c r="H53" s="317"/>
      <c r="I53" s="325">
        <f t="shared" si="0"/>
        <v>0</v>
      </c>
      <c r="J53" s="325">
        <f t="shared" si="1"/>
        <v>0</v>
      </c>
      <c r="K53" s="325">
        <f t="shared" si="2"/>
        <v>0</v>
      </c>
      <c r="L53" s="138"/>
      <c r="M53" s="91"/>
      <c r="N53" s="91"/>
      <c r="O53" s="91"/>
      <c r="P53" s="91"/>
      <c r="Q53" s="91"/>
      <c r="R53" s="91"/>
      <c r="S53" s="91"/>
      <c r="T53" s="95"/>
    </row>
    <row r="54" spans="1:20" ht="13">
      <c r="A54" s="32"/>
      <c r="B54" s="30"/>
      <c r="C54" s="139" t="s">
        <v>387</v>
      </c>
      <c r="D54" s="140"/>
      <c r="E54" s="325">
        <f>SUMIF(G12:G53,"Ja",E12:E53)</f>
        <v>0</v>
      </c>
      <c r="F54" s="140"/>
      <c r="G54" s="140"/>
      <c r="H54" s="140"/>
      <c r="I54" s="76"/>
      <c r="J54" s="140"/>
      <c r="K54" s="76"/>
      <c r="L54" s="138"/>
      <c r="M54" s="91"/>
      <c r="N54" s="91"/>
      <c r="O54" s="91"/>
      <c r="P54" s="91"/>
      <c r="Q54" s="91"/>
      <c r="R54" s="91"/>
      <c r="S54" s="91"/>
      <c r="T54" s="95"/>
    </row>
    <row r="55" spans="1:20" ht="13">
      <c r="A55" s="32"/>
      <c r="B55" s="30"/>
      <c r="C55" s="139" t="s">
        <v>388</v>
      </c>
      <c r="D55" s="140"/>
      <c r="E55" s="325">
        <f>SUM(E6:E53)</f>
        <v>0</v>
      </c>
      <c r="F55" s="140"/>
      <c r="G55" s="140"/>
      <c r="H55" s="140"/>
      <c r="I55" s="76"/>
      <c r="J55" s="140"/>
      <c r="K55" s="76"/>
      <c r="L55" s="138"/>
      <c r="M55" s="91"/>
      <c r="N55" s="91"/>
      <c r="O55" s="91"/>
      <c r="P55" s="91"/>
      <c r="Q55" s="91"/>
      <c r="R55" s="91"/>
      <c r="S55" s="91"/>
      <c r="T55" s="95"/>
    </row>
    <row r="56" spans="1:20" ht="13">
      <c r="A56" s="32"/>
      <c r="B56" s="30"/>
      <c r="C56" s="139"/>
      <c r="D56" s="140"/>
      <c r="E56" s="76"/>
      <c r="F56" s="140"/>
      <c r="G56" s="140"/>
      <c r="H56" s="140"/>
      <c r="I56" s="76"/>
      <c r="J56" s="140"/>
      <c r="K56" s="76"/>
      <c r="L56" s="138"/>
      <c r="M56" s="91"/>
      <c r="N56" s="91"/>
      <c r="O56" s="91"/>
      <c r="P56" s="91"/>
      <c r="Q56" s="91"/>
      <c r="R56" s="91"/>
      <c r="S56" s="91"/>
      <c r="T56" s="95"/>
    </row>
    <row r="57" spans="1:20" ht="13">
      <c r="A57" s="132"/>
      <c r="B57" s="59" t="s">
        <v>389</v>
      </c>
      <c r="C57" s="76"/>
      <c r="D57" s="140"/>
      <c r="E57" s="76"/>
      <c r="F57" s="140"/>
      <c r="G57" s="140"/>
      <c r="H57" s="141" t="s">
        <v>385</v>
      </c>
      <c r="I57" s="76"/>
      <c r="J57" s="140"/>
      <c r="K57" s="76"/>
      <c r="L57" s="135"/>
      <c r="M57" s="135"/>
      <c r="N57" s="135"/>
      <c r="O57" s="135"/>
      <c r="P57" s="135"/>
      <c r="Q57" s="135"/>
      <c r="R57" s="135"/>
      <c r="S57" s="135"/>
      <c r="T57" s="95"/>
    </row>
    <row r="58" spans="1:20" ht="13">
      <c r="A58" s="132"/>
      <c r="B58" s="59"/>
      <c r="C58" s="76"/>
      <c r="D58" s="140"/>
      <c r="E58" s="76"/>
      <c r="F58" s="140"/>
      <c r="G58" s="140"/>
      <c r="H58" s="141" t="s">
        <v>386</v>
      </c>
      <c r="I58" s="76"/>
      <c r="J58" s="140"/>
      <c r="K58" s="76"/>
      <c r="L58" s="135"/>
      <c r="M58" s="135"/>
      <c r="N58" s="135"/>
      <c r="O58" s="135"/>
      <c r="P58" s="135"/>
      <c r="Q58" s="135"/>
      <c r="R58" s="135"/>
      <c r="S58" s="135"/>
      <c r="T58" s="95"/>
    </row>
    <row r="59" spans="1:20" ht="13">
      <c r="A59" s="132"/>
      <c r="B59" s="59"/>
      <c r="C59" s="76"/>
      <c r="D59" s="140"/>
      <c r="E59" s="76"/>
      <c r="F59" s="76"/>
      <c r="G59" s="76"/>
      <c r="H59" s="76"/>
      <c r="I59" s="76"/>
      <c r="J59" s="76"/>
      <c r="K59" s="76"/>
      <c r="L59" s="135"/>
      <c r="M59" s="135"/>
      <c r="N59" s="135"/>
      <c r="O59" s="135"/>
      <c r="P59" s="135"/>
      <c r="Q59" s="135"/>
      <c r="R59" s="135"/>
      <c r="S59" s="135"/>
      <c r="T59" s="95"/>
    </row>
    <row r="60" spans="1:20" ht="62.5">
      <c r="A60" s="327"/>
      <c r="B60" s="136" t="s">
        <v>390</v>
      </c>
      <c r="C60" s="315" t="s">
        <v>266</v>
      </c>
      <c r="D60" s="315" t="s">
        <v>211</v>
      </c>
      <c r="E60" s="315" t="s">
        <v>391</v>
      </c>
      <c r="F60" s="315" t="s">
        <v>392</v>
      </c>
      <c r="G60" s="315" t="s">
        <v>379</v>
      </c>
      <c r="H60" s="315" t="s">
        <v>380</v>
      </c>
      <c r="I60" s="76"/>
      <c r="J60" s="315" t="s">
        <v>382</v>
      </c>
      <c r="K60" s="315" t="s">
        <v>383</v>
      </c>
      <c r="L60" s="92"/>
      <c r="M60" s="92"/>
      <c r="N60" s="92"/>
      <c r="O60" s="92"/>
      <c r="P60" s="92"/>
      <c r="Q60" s="92"/>
      <c r="R60" s="92"/>
      <c r="S60" s="92"/>
      <c r="T60" s="95"/>
    </row>
    <row r="61" spans="1:20" ht="13">
      <c r="A61" s="32"/>
      <c r="B61" s="30"/>
      <c r="C61" s="328"/>
      <c r="D61" s="342"/>
      <c r="E61" s="317"/>
      <c r="F61" s="343"/>
      <c r="G61" s="343"/>
      <c r="H61" s="343"/>
      <c r="I61" s="76"/>
      <c r="J61" s="325">
        <f>MAXA(90%*(E61+F61+H61)-G61*0.75,0)</f>
        <v>0</v>
      </c>
      <c r="K61" s="325">
        <f t="shared" ref="K61:K111" si="3">J61^2</f>
        <v>0</v>
      </c>
      <c r="L61" s="91"/>
      <c r="M61" s="91"/>
      <c r="N61" s="91"/>
      <c r="O61" s="91"/>
      <c r="P61" s="91"/>
      <c r="Q61" s="91"/>
      <c r="R61" s="91"/>
      <c r="S61" s="91"/>
      <c r="T61" s="95"/>
    </row>
    <row r="62" spans="1:20" ht="13">
      <c r="A62" s="32"/>
      <c r="B62" s="30"/>
      <c r="C62" s="328"/>
      <c r="D62" s="342"/>
      <c r="E62" s="317"/>
      <c r="F62" s="343"/>
      <c r="G62" s="343"/>
      <c r="H62" s="343"/>
      <c r="I62" s="76"/>
      <c r="J62" s="325">
        <f t="shared" ref="J62:J111" si="4">MAXA(90%*(E62+F62+H62)-G62*0.75,0)</f>
        <v>0</v>
      </c>
      <c r="K62" s="325">
        <f t="shared" si="3"/>
        <v>0</v>
      </c>
      <c r="L62" s="91"/>
      <c r="M62" s="91"/>
      <c r="N62" s="91"/>
      <c r="O62" s="91"/>
      <c r="P62" s="91"/>
      <c r="Q62" s="91"/>
      <c r="R62" s="91"/>
      <c r="S62" s="91"/>
      <c r="T62" s="95"/>
    </row>
    <row r="63" spans="1:20" ht="13">
      <c r="A63" s="32"/>
      <c r="B63" s="30"/>
      <c r="C63" s="328"/>
      <c r="D63" s="342"/>
      <c r="E63" s="317"/>
      <c r="F63" s="343"/>
      <c r="G63" s="343"/>
      <c r="H63" s="343"/>
      <c r="I63" s="76"/>
      <c r="J63" s="325">
        <f t="shared" si="4"/>
        <v>0</v>
      </c>
      <c r="K63" s="325">
        <f t="shared" si="3"/>
        <v>0</v>
      </c>
      <c r="L63" s="91"/>
      <c r="M63" s="91"/>
      <c r="N63" s="91"/>
      <c r="O63" s="91"/>
      <c r="P63" s="91"/>
      <c r="Q63" s="91"/>
      <c r="R63" s="91"/>
      <c r="S63" s="91"/>
      <c r="T63" s="95"/>
    </row>
    <row r="64" spans="1:20" ht="13">
      <c r="A64" s="32"/>
      <c r="B64" s="30"/>
      <c r="C64" s="328"/>
      <c r="D64" s="342"/>
      <c r="E64" s="317"/>
      <c r="F64" s="343"/>
      <c r="G64" s="343"/>
      <c r="H64" s="343"/>
      <c r="I64" s="76"/>
      <c r="J64" s="325">
        <f t="shared" si="4"/>
        <v>0</v>
      </c>
      <c r="K64" s="325">
        <f t="shared" si="3"/>
        <v>0</v>
      </c>
      <c r="L64" s="91"/>
      <c r="M64" s="91"/>
      <c r="N64" s="91"/>
      <c r="O64" s="91"/>
      <c r="P64" s="91"/>
      <c r="Q64" s="91"/>
      <c r="R64" s="91"/>
      <c r="S64" s="91"/>
      <c r="T64" s="95"/>
    </row>
    <row r="65" spans="1:20" ht="13">
      <c r="A65" s="32"/>
      <c r="B65" s="30"/>
      <c r="C65" s="328"/>
      <c r="D65" s="342"/>
      <c r="E65" s="317"/>
      <c r="F65" s="343"/>
      <c r="G65" s="343"/>
      <c r="H65" s="343"/>
      <c r="I65" s="76"/>
      <c r="J65" s="325">
        <f t="shared" si="4"/>
        <v>0</v>
      </c>
      <c r="K65" s="325">
        <f t="shared" si="3"/>
        <v>0</v>
      </c>
      <c r="L65" s="91"/>
      <c r="M65" s="91"/>
      <c r="N65" s="91"/>
      <c r="O65" s="91"/>
      <c r="P65" s="91"/>
      <c r="Q65" s="91"/>
      <c r="R65" s="91"/>
      <c r="S65" s="91"/>
      <c r="T65" s="95"/>
    </row>
    <row r="66" spans="1:20" ht="13">
      <c r="A66" s="32"/>
      <c r="B66" s="30"/>
      <c r="C66" s="328"/>
      <c r="D66" s="342"/>
      <c r="E66" s="317"/>
      <c r="F66" s="343"/>
      <c r="G66" s="343"/>
      <c r="H66" s="343"/>
      <c r="I66" s="76"/>
      <c r="J66" s="325">
        <f t="shared" si="4"/>
        <v>0</v>
      </c>
      <c r="K66" s="325">
        <f t="shared" si="3"/>
        <v>0</v>
      </c>
      <c r="L66" s="91"/>
      <c r="M66" s="91"/>
      <c r="N66" s="91"/>
      <c r="O66" s="91"/>
      <c r="P66" s="91"/>
      <c r="Q66" s="91"/>
      <c r="R66" s="91"/>
      <c r="S66" s="91"/>
      <c r="T66" s="95"/>
    </row>
    <row r="67" spans="1:20" ht="13">
      <c r="A67" s="32"/>
      <c r="B67" s="30"/>
      <c r="C67" s="328"/>
      <c r="D67" s="342"/>
      <c r="E67" s="317"/>
      <c r="F67" s="343"/>
      <c r="G67" s="343"/>
      <c r="H67" s="343"/>
      <c r="I67" s="76"/>
      <c r="J67" s="325">
        <f t="shared" si="4"/>
        <v>0</v>
      </c>
      <c r="K67" s="325">
        <f t="shared" si="3"/>
        <v>0</v>
      </c>
      <c r="L67" s="91"/>
      <c r="M67" s="91"/>
      <c r="N67" s="91"/>
      <c r="O67" s="91"/>
      <c r="P67" s="91"/>
      <c r="Q67" s="91"/>
      <c r="R67" s="91"/>
      <c r="S67" s="91"/>
      <c r="T67" s="95"/>
    </row>
    <row r="68" spans="1:20" ht="13">
      <c r="A68" s="32"/>
      <c r="B68" s="30"/>
      <c r="C68" s="344"/>
      <c r="D68" s="342"/>
      <c r="E68" s="317"/>
      <c r="F68" s="343"/>
      <c r="G68" s="343"/>
      <c r="H68" s="343"/>
      <c r="I68" s="76"/>
      <c r="J68" s="325">
        <f t="shared" si="4"/>
        <v>0</v>
      </c>
      <c r="K68" s="325">
        <f t="shared" si="3"/>
        <v>0</v>
      </c>
      <c r="L68" s="91"/>
      <c r="M68" s="91"/>
      <c r="N68" s="91"/>
      <c r="O68" s="91"/>
      <c r="P68" s="91"/>
      <c r="Q68" s="91"/>
      <c r="R68" s="91"/>
      <c r="S68" s="91"/>
      <c r="T68" s="95"/>
    </row>
    <row r="69" spans="1:20" ht="13">
      <c r="A69" s="32"/>
      <c r="B69" s="30"/>
      <c r="C69" s="328"/>
      <c r="D69" s="342"/>
      <c r="E69" s="317"/>
      <c r="F69" s="343"/>
      <c r="G69" s="343"/>
      <c r="H69" s="343"/>
      <c r="I69" s="76"/>
      <c r="J69" s="325">
        <f t="shared" si="4"/>
        <v>0</v>
      </c>
      <c r="K69" s="325">
        <f t="shared" si="3"/>
        <v>0</v>
      </c>
      <c r="L69" s="91"/>
      <c r="M69" s="91"/>
      <c r="N69" s="91"/>
      <c r="O69" s="91"/>
      <c r="P69" s="91"/>
      <c r="Q69" s="91"/>
      <c r="R69" s="91"/>
      <c r="S69" s="91"/>
      <c r="T69" s="95"/>
    </row>
    <row r="70" spans="1:20" ht="13">
      <c r="A70" s="32"/>
      <c r="B70" s="30"/>
      <c r="C70" s="328"/>
      <c r="D70" s="342"/>
      <c r="E70" s="317"/>
      <c r="F70" s="343"/>
      <c r="G70" s="343"/>
      <c r="H70" s="343"/>
      <c r="I70" s="76"/>
      <c r="J70" s="325">
        <f t="shared" si="4"/>
        <v>0</v>
      </c>
      <c r="K70" s="325">
        <f t="shared" si="3"/>
        <v>0</v>
      </c>
      <c r="L70" s="91"/>
      <c r="M70" s="91"/>
      <c r="N70" s="91"/>
      <c r="O70" s="91"/>
      <c r="P70" s="91"/>
      <c r="Q70" s="91"/>
      <c r="R70" s="91"/>
      <c r="S70" s="91"/>
      <c r="T70" s="95"/>
    </row>
    <row r="71" spans="1:20" ht="13">
      <c r="A71" s="32"/>
      <c r="B71" s="30"/>
      <c r="C71" s="328"/>
      <c r="D71" s="342"/>
      <c r="E71" s="317"/>
      <c r="F71" s="343"/>
      <c r="G71" s="343"/>
      <c r="H71" s="343"/>
      <c r="I71" s="76"/>
      <c r="J71" s="325">
        <f t="shared" si="4"/>
        <v>0</v>
      </c>
      <c r="K71" s="325">
        <f t="shared" si="3"/>
        <v>0</v>
      </c>
      <c r="L71" s="91"/>
      <c r="M71" s="91"/>
      <c r="N71" s="91"/>
      <c r="O71" s="91"/>
      <c r="P71" s="91"/>
      <c r="Q71" s="91"/>
      <c r="R71" s="91"/>
      <c r="S71" s="91"/>
      <c r="T71" s="95"/>
    </row>
    <row r="72" spans="1:20" ht="13">
      <c r="A72" s="32"/>
      <c r="B72" s="30"/>
      <c r="C72" s="328"/>
      <c r="D72" s="342"/>
      <c r="E72" s="317"/>
      <c r="F72" s="343"/>
      <c r="G72" s="343"/>
      <c r="H72" s="343"/>
      <c r="I72" s="76"/>
      <c r="J72" s="325">
        <f t="shared" si="4"/>
        <v>0</v>
      </c>
      <c r="K72" s="325">
        <f t="shared" si="3"/>
        <v>0</v>
      </c>
      <c r="L72" s="91"/>
      <c r="M72" s="91"/>
      <c r="N72" s="91"/>
      <c r="O72" s="91"/>
      <c r="P72" s="91"/>
      <c r="Q72" s="91"/>
      <c r="R72" s="91"/>
      <c r="S72" s="91"/>
      <c r="T72" s="95"/>
    </row>
    <row r="73" spans="1:20" ht="13">
      <c r="A73" s="32"/>
      <c r="B73" s="30"/>
      <c r="C73" s="328"/>
      <c r="D73" s="342"/>
      <c r="E73" s="317"/>
      <c r="F73" s="343"/>
      <c r="G73" s="343"/>
      <c r="H73" s="343"/>
      <c r="I73" s="76"/>
      <c r="J73" s="325">
        <f t="shared" si="4"/>
        <v>0</v>
      </c>
      <c r="K73" s="325">
        <f t="shared" si="3"/>
        <v>0</v>
      </c>
      <c r="L73" s="91"/>
      <c r="M73" s="91"/>
      <c r="N73" s="91"/>
      <c r="O73" s="91"/>
      <c r="P73" s="91"/>
      <c r="Q73" s="91"/>
      <c r="R73" s="91"/>
      <c r="S73" s="91"/>
      <c r="T73" s="95"/>
    </row>
    <row r="74" spans="1:20" ht="13">
      <c r="A74" s="32"/>
      <c r="B74" s="30"/>
      <c r="C74" s="328"/>
      <c r="D74" s="342"/>
      <c r="E74" s="317"/>
      <c r="F74" s="343"/>
      <c r="G74" s="343"/>
      <c r="H74" s="343"/>
      <c r="I74" s="76"/>
      <c r="J74" s="325">
        <f t="shared" si="4"/>
        <v>0</v>
      </c>
      <c r="K74" s="325">
        <f t="shared" si="3"/>
        <v>0</v>
      </c>
      <c r="L74" s="91"/>
      <c r="M74" s="91"/>
      <c r="N74" s="91"/>
      <c r="O74" s="91"/>
      <c r="P74" s="91"/>
      <c r="Q74" s="91"/>
      <c r="R74" s="92"/>
      <c r="S74" s="92"/>
      <c r="T74" s="95"/>
    </row>
    <row r="75" spans="1:20" ht="13" hidden="1">
      <c r="A75" s="32"/>
      <c r="B75" s="30"/>
      <c r="C75" s="328"/>
      <c r="D75" s="342"/>
      <c r="E75" s="317"/>
      <c r="F75" s="343"/>
      <c r="G75" s="343"/>
      <c r="H75" s="343"/>
      <c r="I75" s="76"/>
      <c r="J75" s="325">
        <f t="shared" si="4"/>
        <v>0</v>
      </c>
      <c r="K75" s="325">
        <f t="shared" si="3"/>
        <v>0</v>
      </c>
      <c r="L75" s="91"/>
      <c r="M75" s="91"/>
      <c r="N75" s="91"/>
      <c r="O75" s="91"/>
      <c r="P75" s="91"/>
      <c r="Q75" s="91"/>
      <c r="R75" s="91"/>
      <c r="S75" s="91"/>
      <c r="T75" s="95"/>
    </row>
    <row r="76" spans="1:20" ht="13" hidden="1">
      <c r="A76" s="32"/>
      <c r="B76" s="30"/>
      <c r="C76" s="328"/>
      <c r="D76" s="342"/>
      <c r="E76" s="317"/>
      <c r="F76" s="343"/>
      <c r="G76" s="343"/>
      <c r="H76" s="343"/>
      <c r="I76" s="76"/>
      <c r="J76" s="325">
        <f t="shared" si="4"/>
        <v>0</v>
      </c>
      <c r="K76" s="325">
        <f t="shared" si="3"/>
        <v>0</v>
      </c>
      <c r="L76" s="91"/>
      <c r="M76" s="91"/>
      <c r="N76" s="91"/>
      <c r="O76" s="91"/>
      <c r="P76" s="91"/>
      <c r="Q76" s="91"/>
      <c r="R76" s="91"/>
      <c r="S76" s="91"/>
      <c r="T76" s="95"/>
    </row>
    <row r="77" spans="1:20" ht="13" hidden="1">
      <c r="A77" s="32"/>
      <c r="B77" s="30"/>
      <c r="C77" s="328"/>
      <c r="D77" s="342"/>
      <c r="E77" s="317"/>
      <c r="F77" s="343"/>
      <c r="G77" s="343"/>
      <c r="H77" s="343"/>
      <c r="I77" s="76"/>
      <c r="J77" s="325">
        <f t="shared" si="4"/>
        <v>0</v>
      </c>
      <c r="K77" s="325">
        <f t="shared" si="3"/>
        <v>0</v>
      </c>
      <c r="L77" s="91"/>
      <c r="M77" s="91"/>
      <c r="N77" s="91"/>
      <c r="O77" s="91"/>
      <c r="P77" s="91"/>
      <c r="Q77" s="91"/>
      <c r="R77" s="91"/>
      <c r="S77" s="91"/>
      <c r="T77" s="95"/>
    </row>
    <row r="78" spans="1:20" ht="13" hidden="1">
      <c r="A78" s="32"/>
      <c r="B78" s="30"/>
      <c r="C78" s="328"/>
      <c r="D78" s="342"/>
      <c r="E78" s="317"/>
      <c r="F78" s="343"/>
      <c r="G78" s="343"/>
      <c r="H78" s="343"/>
      <c r="I78" s="76"/>
      <c r="J78" s="325">
        <f t="shared" si="4"/>
        <v>0</v>
      </c>
      <c r="K78" s="325">
        <f t="shared" si="3"/>
        <v>0</v>
      </c>
      <c r="L78" s="91"/>
      <c r="M78" s="91"/>
      <c r="N78" s="91"/>
      <c r="O78" s="91"/>
      <c r="P78" s="91"/>
      <c r="Q78" s="91"/>
      <c r="R78" s="91"/>
      <c r="S78" s="91"/>
      <c r="T78" s="95"/>
    </row>
    <row r="79" spans="1:20" ht="13" hidden="1">
      <c r="A79" s="32"/>
      <c r="B79" s="30"/>
      <c r="C79" s="328"/>
      <c r="D79" s="342"/>
      <c r="E79" s="317"/>
      <c r="F79" s="343"/>
      <c r="G79" s="343"/>
      <c r="H79" s="343"/>
      <c r="I79" s="76"/>
      <c r="J79" s="325">
        <f t="shared" si="4"/>
        <v>0</v>
      </c>
      <c r="K79" s="325">
        <f t="shared" si="3"/>
        <v>0</v>
      </c>
      <c r="L79" s="91"/>
      <c r="M79" s="91"/>
      <c r="N79" s="91"/>
      <c r="O79" s="91"/>
      <c r="P79" s="91"/>
      <c r="Q79" s="91"/>
      <c r="R79" s="91"/>
      <c r="S79" s="91"/>
      <c r="T79" s="95"/>
    </row>
    <row r="80" spans="1:20" ht="13" hidden="1">
      <c r="A80" s="32"/>
      <c r="B80" s="30"/>
      <c r="C80" s="328"/>
      <c r="D80" s="342"/>
      <c r="E80" s="317"/>
      <c r="F80" s="343"/>
      <c r="G80" s="343"/>
      <c r="H80" s="343"/>
      <c r="I80" s="76"/>
      <c r="J80" s="325">
        <f t="shared" si="4"/>
        <v>0</v>
      </c>
      <c r="K80" s="325">
        <f t="shared" si="3"/>
        <v>0</v>
      </c>
      <c r="L80" s="91"/>
      <c r="M80" s="91"/>
      <c r="N80" s="91"/>
      <c r="O80" s="91"/>
      <c r="P80" s="91"/>
      <c r="Q80" s="91"/>
      <c r="R80" s="91"/>
      <c r="S80" s="91"/>
      <c r="T80" s="95"/>
    </row>
    <row r="81" spans="1:20" ht="13" hidden="1">
      <c r="A81" s="32"/>
      <c r="B81" s="30"/>
      <c r="C81" s="328"/>
      <c r="D81" s="342"/>
      <c r="E81" s="317"/>
      <c r="F81" s="343"/>
      <c r="G81" s="343"/>
      <c r="H81" s="343"/>
      <c r="I81" s="76"/>
      <c r="J81" s="325">
        <f t="shared" si="4"/>
        <v>0</v>
      </c>
      <c r="K81" s="325">
        <f t="shared" si="3"/>
        <v>0</v>
      </c>
      <c r="L81" s="91"/>
      <c r="M81" s="91"/>
      <c r="N81" s="91"/>
      <c r="O81" s="91"/>
      <c r="P81" s="91"/>
      <c r="Q81" s="91"/>
      <c r="R81" s="91"/>
      <c r="S81" s="91"/>
      <c r="T81" s="95"/>
    </row>
    <row r="82" spans="1:20" ht="13" hidden="1">
      <c r="A82" s="32"/>
      <c r="B82" s="30"/>
      <c r="C82" s="328"/>
      <c r="D82" s="342"/>
      <c r="E82" s="317"/>
      <c r="F82" s="343"/>
      <c r="G82" s="343"/>
      <c r="H82" s="343"/>
      <c r="I82" s="76"/>
      <c r="J82" s="325">
        <f t="shared" si="4"/>
        <v>0</v>
      </c>
      <c r="K82" s="325">
        <f t="shared" si="3"/>
        <v>0</v>
      </c>
      <c r="L82" s="91"/>
      <c r="M82" s="91"/>
      <c r="N82" s="91"/>
      <c r="O82" s="91"/>
      <c r="P82" s="91"/>
      <c r="Q82" s="91"/>
      <c r="R82" s="91"/>
      <c r="S82" s="91"/>
      <c r="T82" s="95"/>
    </row>
    <row r="83" spans="1:20" ht="13" hidden="1">
      <c r="A83" s="32"/>
      <c r="B83" s="30"/>
      <c r="C83" s="328"/>
      <c r="D83" s="342"/>
      <c r="E83" s="317"/>
      <c r="F83" s="343"/>
      <c r="G83" s="343"/>
      <c r="H83" s="343"/>
      <c r="I83" s="76"/>
      <c r="J83" s="325">
        <f t="shared" si="4"/>
        <v>0</v>
      </c>
      <c r="K83" s="325">
        <f t="shared" si="3"/>
        <v>0</v>
      </c>
      <c r="L83" s="91"/>
      <c r="M83" s="91"/>
      <c r="N83" s="91"/>
      <c r="O83" s="91"/>
      <c r="P83" s="91"/>
      <c r="Q83" s="91"/>
      <c r="R83" s="91"/>
      <c r="S83" s="91"/>
      <c r="T83" s="95"/>
    </row>
    <row r="84" spans="1:20" ht="13" hidden="1">
      <c r="A84" s="32"/>
      <c r="B84" s="30"/>
      <c r="C84" s="328"/>
      <c r="D84" s="342"/>
      <c r="E84" s="317"/>
      <c r="F84" s="343"/>
      <c r="G84" s="343"/>
      <c r="H84" s="343"/>
      <c r="I84" s="76"/>
      <c r="J84" s="325">
        <f t="shared" si="4"/>
        <v>0</v>
      </c>
      <c r="K84" s="325">
        <f t="shared" si="3"/>
        <v>0</v>
      </c>
      <c r="L84" s="91"/>
      <c r="M84" s="91"/>
      <c r="N84" s="91"/>
      <c r="O84" s="91"/>
      <c r="P84" s="91"/>
      <c r="Q84" s="91"/>
      <c r="R84" s="91"/>
      <c r="S84" s="91"/>
      <c r="T84" s="95"/>
    </row>
    <row r="85" spans="1:20" ht="13" hidden="1">
      <c r="A85" s="32"/>
      <c r="B85" s="30"/>
      <c r="C85" s="328"/>
      <c r="D85" s="342"/>
      <c r="E85" s="317"/>
      <c r="F85" s="343"/>
      <c r="G85" s="343"/>
      <c r="H85" s="343"/>
      <c r="I85" s="76"/>
      <c r="J85" s="325">
        <f t="shared" si="4"/>
        <v>0</v>
      </c>
      <c r="K85" s="325">
        <f t="shared" si="3"/>
        <v>0</v>
      </c>
      <c r="L85" s="91"/>
      <c r="M85" s="91"/>
      <c r="N85" s="91"/>
      <c r="O85" s="91"/>
      <c r="P85" s="91"/>
      <c r="Q85" s="91"/>
      <c r="R85" s="91"/>
      <c r="S85" s="91"/>
      <c r="T85" s="95"/>
    </row>
    <row r="86" spans="1:20" ht="13" hidden="1">
      <c r="A86" s="32"/>
      <c r="B86" s="30"/>
      <c r="C86" s="328"/>
      <c r="D86" s="342"/>
      <c r="E86" s="317"/>
      <c r="F86" s="343"/>
      <c r="G86" s="343"/>
      <c r="H86" s="343"/>
      <c r="I86" s="76"/>
      <c r="J86" s="325">
        <f t="shared" si="4"/>
        <v>0</v>
      </c>
      <c r="K86" s="325">
        <f t="shared" si="3"/>
        <v>0</v>
      </c>
      <c r="L86" s="91"/>
      <c r="M86" s="91"/>
      <c r="N86" s="91"/>
      <c r="O86" s="91"/>
      <c r="P86" s="91"/>
      <c r="Q86" s="91"/>
      <c r="R86" s="91"/>
      <c r="S86" s="91"/>
      <c r="T86" s="95"/>
    </row>
    <row r="87" spans="1:20" ht="13" hidden="1">
      <c r="A87" s="32"/>
      <c r="B87" s="30"/>
      <c r="C87" s="328"/>
      <c r="D87" s="342"/>
      <c r="E87" s="317"/>
      <c r="F87" s="343"/>
      <c r="G87" s="343"/>
      <c r="H87" s="343"/>
      <c r="I87" s="76"/>
      <c r="J87" s="325">
        <f t="shared" si="4"/>
        <v>0</v>
      </c>
      <c r="K87" s="325">
        <f t="shared" si="3"/>
        <v>0</v>
      </c>
      <c r="L87" s="91"/>
      <c r="M87" s="91"/>
      <c r="N87" s="91"/>
      <c r="O87" s="91"/>
      <c r="P87" s="91"/>
      <c r="Q87" s="91"/>
      <c r="R87" s="91"/>
      <c r="S87" s="91"/>
      <c r="T87" s="95"/>
    </row>
    <row r="88" spans="1:20" ht="13" hidden="1">
      <c r="A88" s="32"/>
      <c r="B88" s="30"/>
      <c r="C88" s="328"/>
      <c r="D88" s="342"/>
      <c r="E88" s="317"/>
      <c r="F88" s="343"/>
      <c r="G88" s="343"/>
      <c r="H88" s="343"/>
      <c r="I88" s="76"/>
      <c r="J88" s="325">
        <f t="shared" si="4"/>
        <v>0</v>
      </c>
      <c r="K88" s="325">
        <f t="shared" si="3"/>
        <v>0</v>
      </c>
      <c r="L88" s="91"/>
      <c r="M88" s="91"/>
      <c r="N88" s="91"/>
      <c r="O88" s="91"/>
      <c r="P88" s="91"/>
      <c r="Q88" s="91"/>
      <c r="R88" s="91"/>
      <c r="S88" s="91"/>
      <c r="T88" s="95"/>
    </row>
    <row r="89" spans="1:20" ht="13" hidden="1">
      <c r="A89" s="32"/>
      <c r="B89" s="30"/>
      <c r="C89" s="328"/>
      <c r="D89" s="342"/>
      <c r="E89" s="317"/>
      <c r="F89" s="343"/>
      <c r="G89" s="343"/>
      <c r="H89" s="343"/>
      <c r="I89" s="76"/>
      <c r="J89" s="325">
        <f t="shared" si="4"/>
        <v>0</v>
      </c>
      <c r="K89" s="325">
        <f t="shared" si="3"/>
        <v>0</v>
      </c>
      <c r="L89" s="91"/>
      <c r="M89" s="91"/>
      <c r="N89" s="91"/>
      <c r="O89" s="91"/>
      <c r="P89" s="91"/>
      <c r="Q89" s="91"/>
      <c r="R89" s="91"/>
      <c r="S89" s="91"/>
      <c r="T89" s="95"/>
    </row>
    <row r="90" spans="1:20" ht="13" hidden="1">
      <c r="A90" s="32"/>
      <c r="B90" s="30"/>
      <c r="C90" s="328"/>
      <c r="D90" s="342"/>
      <c r="E90" s="317"/>
      <c r="F90" s="343"/>
      <c r="G90" s="343"/>
      <c r="H90" s="343"/>
      <c r="I90" s="76"/>
      <c r="J90" s="325">
        <f t="shared" si="4"/>
        <v>0</v>
      </c>
      <c r="K90" s="325">
        <f t="shared" si="3"/>
        <v>0</v>
      </c>
      <c r="L90" s="91"/>
      <c r="M90" s="91"/>
      <c r="N90" s="91"/>
      <c r="O90" s="91"/>
      <c r="P90" s="91"/>
      <c r="Q90" s="91"/>
      <c r="R90" s="91"/>
      <c r="S90" s="91"/>
      <c r="T90" s="95"/>
    </row>
    <row r="91" spans="1:20" ht="13" hidden="1">
      <c r="A91" s="32"/>
      <c r="B91" s="30"/>
      <c r="C91" s="328"/>
      <c r="D91" s="342"/>
      <c r="E91" s="317"/>
      <c r="F91" s="343"/>
      <c r="G91" s="343"/>
      <c r="H91" s="343"/>
      <c r="I91" s="76"/>
      <c r="J91" s="325">
        <f t="shared" si="4"/>
        <v>0</v>
      </c>
      <c r="K91" s="325">
        <f t="shared" si="3"/>
        <v>0</v>
      </c>
      <c r="L91" s="91"/>
      <c r="M91" s="91"/>
      <c r="N91" s="91"/>
      <c r="O91" s="91"/>
      <c r="P91" s="91"/>
      <c r="Q91" s="91"/>
      <c r="R91" s="91"/>
      <c r="S91" s="91"/>
      <c r="T91" s="95"/>
    </row>
    <row r="92" spans="1:20" ht="13" hidden="1">
      <c r="A92" s="32"/>
      <c r="B92" s="30"/>
      <c r="C92" s="328"/>
      <c r="D92" s="342"/>
      <c r="E92" s="317"/>
      <c r="F92" s="343"/>
      <c r="G92" s="343"/>
      <c r="H92" s="343"/>
      <c r="I92" s="76"/>
      <c r="J92" s="325">
        <f t="shared" si="4"/>
        <v>0</v>
      </c>
      <c r="K92" s="325">
        <f t="shared" si="3"/>
        <v>0</v>
      </c>
      <c r="L92" s="91"/>
      <c r="M92" s="91"/>
      <c r="N92" s="91"/>
      <c r="O92" s="91"/>
      <c r="P92" s="91"/>
      <c r="Q92" s="91"/>
      <c r="R92" s="91"/>
      <c r="S92" s="91"/>
      <c r="T92" s="95"/>
    </row>
    <row r="93" spans="1:20" ht="13" hidden="1">
      <c r="A93" s="32"/>
      <c r="B93" s="30"/>
      <c r="C93" s="328"/>
      <c r="D93" s="342"/>
      <c r="E93" s="317"/>
      <c r="F93" s="343"/>
      <c r="G93" s="343"/>
      <c r="H93" s="343"/>
      <c r="I93" s="76"/>
      <c r="J93" s="325">
        <f t="shared" si="4"/>
        <v>0</v>
      </c>
      <c r="K93" s="325">
        <f t="shared" si="3"/>
        <v>0</v>
      </c>
      <c r="L93" s="91"/>
      <c r="M93" s="91"/>
      <c r="N93" s="91"/>
      <c r="O93" s="91"/>
      <c r="P93" s="91"/>
      <c r="Q93" s="91"/>
      <c r="R93" s="91"/>
      <c r="S93" s="91"/>
      <c r="T93" s="95"/>
    </row>
    <row r="94" spans="1:20" ht="13" hidden="1">
      <c r="A94" s="32"/>
      <c r="B94" s="30"/>
      <c r="C94" s="328"/>
      <c r="D94" s="342"/>
      <c r="E94" s="317"/>
      <c r="F94" s="343"/>
      <c r="G94" s="343"/>
      <c r="H94" s="343"/>
      <c r="I94" s="76"/>
      <c r="J94" s="325">
        <f t="shared" si="4"/>
        <v>0</v>
      </c>
      <c r="K94" s="325">
        <f t="shared" si="3"/>
        <v>0</v>
      </c>
      <c r="L94" s="91"/>
      <c r="M94" s="91"/>
      <c r="N94" s="91"/>
      <c r="O94" s="91"/>
      <c r="P94" s="91"/>
      <c r="Q94" s="91"/>
      <c r="R94" s="91"/>
      <c r="S94" s="91"/>
      <c r="T94" s="95"/>
    </row>
    <row r="95" spans="1:20" ht="13" hidden="1">
      <c r="A95" s="32"/>
      <c r="B95" s="30"/>
      <c r="C95" s="328"/>
      <c r="D95" s="342"/>
      <c r="E95" s="317"/>
      <c r="F95" s="343"/>
      <c r="G95" s="343"/>
      <c r="H95" s="343"/>
      <c r="I95" s="76"/>
      <c r="J95" s="325">
        <f t="shared" si="4"/>
        <v>0</v>
      </c>
      <c r="K95" s="325">
        <f t="shared" si="3"/>
        <v>0</v>
      </c>
      <c r="L95" s="91"/>
      <c r="M95" s="91"/>
      <c r="N95" s="91"/>
      <c r="O95" s="91"/>
      <c r="P95" s="91"/>
      <c r="Q95" s="91"/>
      <c r="R95" s="91"/>
      <c r="S95" s="91"/>
      <c r="T95" s="95"/>
    </row>
    <row r="96" spans="1:20" ht="13" hidden="1">
      <c r="A96" s="32"/>
      <c r="B96" s="30"/>
      <c r="C96" s="328"/>
      <c r="D96" s="342"/>
      <c r="E96" s="317"/>
      <c r="F96" s="343"/>
      <c r="G96" s="343"/>
      <c r="H96" s="343"/>
      <c r="I96" s="76"/>
      <c r="J96" s="325">
        <f t="shared" si="4"/>
        <v>0</v>
      </c>
      <c r="K96" s="325">
        <f t="shared" si="3"/>
        <v>0</v>
      </c>
      <c r="L96" s="91"/>
      <c r="M96" s="91"/>
      <c r="N96" s="91"/>
      <c r="O96" s="91"/>
      <c r="P96" s="91"/>
      <c r="Q96" s="91"/>
      <c r="R96" s="91"/>
      <c r="S96" s="91"/>
      <c r="T96" s="95"/>
    </row>
    <row r="97" spans="1:20" ht="13" hidden="1">
      <c r="A97" s="32"/>
      <c r="B97" s="30"/>
      <c r="C97" s="328"/>
      <c r="D97" s="342"/>
      <c r="E97" s="317"/>
      <c r="F97" s="343"/>
      <c r="G97" s="343"/>
      <c r="H97" s="343"/>
      <c r="I97" s="76"/>
      <c r="J97" s="325">
        <f t="shared" si="4"/>
        <v>0</v>
      </c>
      <c r="K97" s="325">
        <f t="shared" si="3"/>
        <v>0</v>
      </c>
      <c r="L97" s="91"/>
      <c r="M97" s="91"/>
      <c r="N97" s="91"/>
      <c r="O97" s="91"/>
      <c r="P97" s="91"/>
      <c r="Q97" s="91"/>
      <c r="R97" s="91"/>
      <c r="S97" s="91"/>
      <c r="T97" s="95"/>
    </row>
    <row r="98" spans="1:20" ht="13" hidden="1">
      <c r="A98" s="32"/>
      <c r="B98" s="30"/>
      <c r="C98" s="328"/>
      <c r="D98" s="342"/>
      <c r="E98" s="317"/>
      <c r="F98" s="343"/>
      <c r="G98" s="343"/>
      <c r="H98" s="343"/>
      <c r="I98" s="76"/>
      <c r="J98" s="325">
        <f t="shared" si="4"/>
        <v>0</v>
      </c>
      <c r="K98" s="325">
        <f t="shared" si="3"/>
        <v>0</v>
      </c>
      <c r="L98" s="91"/>
      <c r="M98" s="91"/>
      <c r="N98" s="91"/>
      <c r="O98" s="91"/>
      <c r="P98" s="91"/>
      <c r="Q98" s="91"/>
      <c r="R98" s="91"/>
      <c r="S98" s="91"/>
      <c r="T98" s="95"/>
    </row>
    <row r="99" spans="1:20" ht="13" hidden="1">
      <c r="A99" s="32"/>
      <c r="B99" s="30"/>
      <c r="C99" s="328"/>
      <c r="D99" s="342"/>
      <c r="E99" s="317"/>
      <c r="F99" s="343"/>
      <c r="G99" s="343"/>
      <c r="H99" s="343"/>
      <c r="I99" s="76"/>
      <c r="J99" s="325">
        <f t="shared" si="4"/>
        <v>0</v>
      </c>
      <c r="K99" s="325">
        <f t="shared" si="3"/>
        <v>0</v>
      </c>
      <c r="L99" s="91"/>
      <c r="M99" s="91"/>
      <c r="N99" s="91"/>
      <c r="O99" s="91"/>
      <c r="P99" s="91"/>
      <c r="Q99" s="91"/>
      <c r="R99" s="91"/>
      <c r="S99" s="91"/>
      <c r="T99" s="95"/>
    </row>
    <row r="100" spans="1:20" ht="13" hidden="1">
      <c r="A100" s="32"/>
      <c r="B100" s="30"/>
      <c r="C100" s="328"/>
      <c r="D100" s="342"/>
      <c r="E100" s="317"/>
      <c r="F100" s="343"/>
      <c r="G100" s="343"/>
      <c r="H100" s="343"/>
      <c r="I100" s="76"/>
      <c r="J100" s="325">
        <f t="shared" si="4"/>
        <v>0</v>
      </c>
      <c r="K100" s="325">
        <f t="shared" si="3"/>
        <v>0</v>
      </c>
      <c r="L100" s="91"/>
      <c r="M100" s="91"/>
      <c r="N100" s="91"/>
      <c r="O100" s="91"/>
      <c r="P100" s="91"/>
      <c r="Q100" s="91"/>
      <c r="R100" s="91"/>
      <c r="S100" s="91"/>
      <c r="T100" s="95"/>
    </row>
    <row r="101" spans="1:20" ht="13" hidden="1">
      <c r="A101" s="32"/>
      <c r="B101" s="30"/>
      <c r="C101" s="328"/>
      <c r="D101" s="342"/>
      <c r="E101" s="317"/>
      <c r="F101" s="343"/>
      <c r="G101" s="343"/>
      <c r="H101" s="343"/>
      <c r="I101" s="76"/>
      <c r="J101" s="325">
        <f t="shared" si="4"/>
        <v>0</v>
      </c>
      <c r="K101" s="325">
        <f t="shared" si="3"/>
        <v>0</v>
      </c>
      <c r="L101" s="91"/>
      <c r="M101" s="91"/>
      <c r="N101" s="91"/>
      <c r="O101" s="91"/>
      <c r="P101" s="91"/>
      <c r="Q101" s="91"/>
      <c r="R101" s="91"/>
      <c r="S101" s="91"/>
      <c r="T101" s="95"/>
    </row>
    <row r="102" spans="1:20" ht="13" hidden="1">
      <c r="A102" s="32"/>
      <c r="B102" s="30"/>
      <c r="C102" s="328"/>
      <c r="D102" s="342"/>
      <c r="E102" s="317"/>
      <c r="F102" s="343"/>
      <c r="G102" s="343"/>
      <c r="H102" s="343"/>
      <c r="I102" s="76"/>
      <c r="J102" s="325">
        <f t="shared" si="4"/>
        <v>0</v>
      </c>
      <c r="K102" s="325">
        <f t="shared" si="3"/>
        <v>0</v>
      </c>
      <c r="L102" s="91"/>
      <c r="M102" s="91"/>
      <c r="N102" s="91"/>
      <c r="O102" s="91"/>
      <c r="P102" s="91"/>
      <c r="Q102" s="91"/>
      <c r="R102" s="91"/>
      <c r="S102" s="91"/>
      <c r="T102" s="95"/>
    </row>
    <row r="103" spans="1:20" ht="13" hidden="1">
      <c r="A103" s="32"/>
      <c r="B103" s="30"/>
      <c r="C103" s="328"/>
      <c r="D103" s="342"/>
      <c r="E103" s="317"/>
      <c r="F103" s="343"/>
      <c r="G103" s="343"/>
      <c r="H103" s="343"/>
      <c r="I103" s="76"/>
      <c r="J103" s="325">
        <f t="shared" si="4"/>
        <v>0</v>
      </c>
      <c r="K103" s="325">
        <f t="shared" si="3"/>
        <v>0</v>
      </c>
      <c r="L103" s="91"/>
      <c r="M103" s="91"/>
      <c r="N103" s="91"/>
      <c r="O103" s="91"/>
      <c r="P103" s="91"/>
      <c r="Q103" s="91"/>
      <c r="R103" s="91"/>
      <c r="S103" s="91"/>
      <c r="T103" s="95"/>
    </row>
    <row r="104" spans="1:20" ht="13" hidden="1">
      <c r="A104" s="32"/>
      <c r="B104" s="30"/>
      <c r="C104" s="328"/>
      <c r="D104" s="342"/>
      <c r="E104" s="317"/>
      <c r="F104" s="343"/>
      <c r="G104" s="343"/>
      <c r="H104" s="343"/>
      <c r="I104" s="76"/>
      <c r="J104" s="325">
        <f t="shared" si="4"/>
        <v>0</v>
      </c>
      <c r="K104" s="325">
        <f t="shared" si="3"/>
        <v>0</v>
      </c>
      <c r="L104" s="91"/>
      <c r="M104" s="91"/>
      <c r="N104" s="91"/>
      <c r="O104" s="91"/>
      <c r="P104" s="91"/>
      <c r="Q104" s="91"/>
      <c r="R104" s="91"/>
      <c r="S104" s="91"/>
      <c r="T104" s="95"/>
    </row>
    <row r="105" spans="1:20" ht="13" hidden="1">
      <c r="A105" s="32"/>
      <c r="B105" s="30"/>
      <c r="C105" s="328"/>
      <c r="D105" s="342"/>
      <c r="E105" s="317"/>
      <c r="F105" s="343"/>
      <c r="G105" s="343"/>
      <c r="H105" s="343"/>
      <c r="I105" s="76"/>
      <c r="J105" s="325">
        <f t="shared" si="4"/>
        <v>0</v>
      </c>
      <c r="K105" s="325">
        <f t="shared" si="3"/>
        <v>0</v>
      </c>
      <c r="L105" s="91"/>
      <c r="M105" s="91"/>
      <c r="N105" s="91"/>
      <c r="O105" s="91"/>
      <c r="P105" s="91"/>
      <c r="Q105" s="91"/>
      <c r="R105" s="91"/>
      <c r="S105" s="91"/>
      <c r="T105" s="95"/>
    </row>
    <row r="106" spans="1:20" ht="13" hidden="1">
      <c r="A106" s="32"/>
      <c r="B106" s="30"/>
      <c r="C106" s="328"/>
      <c r="D106" s="342"/>
      <c r="E106" s="317"/>
      <c r="F106" s="343"/>
      <c r="G106" s="343"/>
      <c r="H106" s="343"/>
      <c r="I106" s="76"/>
      <c r="J106" s="325">
        <f t="shared" si="4"/>
        <v>0</v>
      </c>
      <c r="K106" s="325">
        <f t="shared" si="3"/>
        <v>0</v>
      </c>
      <c r="L106" s="91"/>
      <c r="M106" s="91"/>
      <c r="N106" s="91"/>
      <c r="O106" s="91"/>
      <c r="P106" s="91"/>
      <c r="Q106" s="91"/>
      <c r="R106" s="91"/>
      <c r="S106" s="91"/>
      <c r="T106" s="95"/>
    </row>
    <row r="107" spans="1:20" ht="13" hidden="1">
      <c r="A107" s="32"/>
      <c r="B107" s="30"/>
      <c r="C107" s="328"/>
      <c r="D107" s="342"/>
      <c r="E107" s="317"/>
      <c r="F107" s="343"/>
      <c r="G107" s="343"/>
      <c r="H107" s="343"/>
      <c r="I107" s="76"/>
      <c r="J107" s="325">
        <f t="shared" si="4"/>
        <v>0</v>
      </c>
      <c r="K107" s="325">
        <f t="shared" si="3"/>
        <v>0</v>
      </c>
      <c r="L107" s="91"/>
      <c r="M107" s="91"/>
      <c r="N107" s="91"/>
      <c r="O107" s="91"/>
      <c r="P107" s="91"/>
      <c r="Q107" s="91"/>
      <c r="R107" s="91"/>
      <c r="S107" s="91"/>
      <c r="T107" s="95"/>
    </row>
    <row r="108" spans="1:20" ht="13" hidden="1">
      <c r="A108" s="32"/>
      <c r="B108" s="30"/>
      <c r="C108" s="328"/>
      <c r="D108" s="342"/>
      <c r="E108" s="317"/>
      <c r="F108" s="343"/>
      <c r="G108" s="343"/>
      <c r="H108" s="343"/>
      <c r="I108" s="76"/>
      <c r="J108" s="325">
        <f t="shared" si="4"/>
        <v>0</v>
      </c>
      <c r="K108" s="325">
        <f t="shared" si="3"/>
        <v>0</v>
      </c>
      <c r="L108" s="91"/>
      <c r="M108" s="91"/>
      <c r="N108" s="91"/>
      <c r="O108" s="91"/>
      <c r="P108" s="91"/>
      <c r="Q108" s="91"/>
      <c r="R108" s="91"/>
      <c r="S108" s="91"/>
      <c r="T108" s="95"/>
    </row>
    <row r="109" spans="1:20" ht="13" hidden="1">
      <c r="A109" s="32"/>
      <c r="B109" s="30"/>
      <c r="C109" s="328"/>
      <c r="D109" s="342"/>
      <c r="E109" s="317"/>
      <c r="F109" s="343"/>
      <c r="G109" s="343"/>
      <c r="H109" s="343"/>
      <c r="I109" s="76"/>
      <c r="J109" s="325">
        <f t="shared" si="4"/>
        <v>0</v>
      </c>
      <c r="K109" s="325">
        <f t="shared" si="3"/>
        <v>0</v>
      </c>
      <c r="L109" s="91"/>
      <c r="M109" s="91"/>
      <c r="N109" s="91"/>
      <c r="O109" s="91"/>
      <c r="P109" s="91"/>
      <c r="Q109" s="91"/>
      <c r="R109" s="91"/>
      <c r="S109" s="91"/>
      <c r="T109" s="95"/>
    </row>
    <row r="110" spans="1:20" ht="13" hidden="1">
      <c r="A110" s="32"/>
      <c r="B110" s="30"/>
      <c r="C110" s="328"/>
      <c r="D110" s="342"/>
      <c r="E110" s="317"/>
      <c r="F110" s="343"/>
      <c r="G110" s="343"/>
      <c r="H110" s="343"/>
      <c r="I110" s="76"/>
      <c r="J110" s="325">
        <f t="shared" si="4"/>
        <v>0</v>
      </c>
      <c r="K110" s="325">
        <f t="shared" si="3"/>
        <v>0</v>
      </c>
      <c r="L110" s="91"/>
      <c r="M110" s="91"/>
      <c r="N110" s="91"/>
      <c r="O110" s="91"/>
      <c r="P110" s="91"/>
      <c r="Q110" s="91"/>
      <c r="R110" s="91"/>
      <c r="S110" s="91"/>
      <c r="T110" s="95"/>
    </row>
    <row r="111" spans="1:20" ht="13" hidden="1">
      <c r="A111" s="32"/>
      <c r="B111" s="30"/>
      <c r="C111" s="328"/>
      <c r="D111" s="342"/>
      <c r="E111" s="317"/>
      <c r="F111" s="343"/>
      <c r="G111" s="343"/>
      <c r="H111" s="343"/>
      <c r="I111" s="76"/>
      <c r="J111" s="325">
        <f t="shared" si="4"/>
        <v>0</v>
      </c>
      <c r="K111" s="325">
        <f t="shared" si="3"/>
        <v>0</v>
      </c>
      <c r="L111" s="91"/>
      <c r="M111" s="91"/>
      <c r="N111" s="91"/>
      <c r="O111" s="91"/>
      <c r="P111" s="91"/>
      <c r="Q111" s="91"/>
      <c r="R111" s="91"/>
      <c r="S111" s="91"/>
      <c r="T111" s="95"/>
    </row>
    <row r="112" spans="1:20" ht="13">
      <c r="A112" s="32"/>
      <c r="B112" s="30"/>
      <c r="C112" s="139" t="s">
        <v>388</v>
      </c>
      <c r="D112" s="140"/>
      <c r="E112" s="325">
        <f>SUM(E61:E111)</f>
        <v>0</v>
      </c>
      <c r="F112" s="325">
        <f>SUM(F61:F111)</f>
        <v>0</v>
      </c>
      <c r="G112" s="76"/>
      <c r="H112" s="76"/>
      <c r="I112" s="76"/>
      <c r="J112" s="140"/>
      <c r="K112" s="140"/>
      <c r="L112" s="138"/>
      <c r="M112" s="91"/>
      <c r="N112" s="91"/>
      <c r="O112" s="91"/>
      <c r="P112" s="91"/>
      <c r="Q112" s="91"/>
      <c r="R112" s="91"/>
      <c r="S112" s="91"/>
      <c r="T112" s="95"/>
    </row>
    <row r="113" spans="1:20" ht="13">
      <c r="A113" s="32"/>
      <c r="B113" s="30"/>
      <c r="C113" s="33"/>
      <c r="D113" s="33"/>
      <c r="E113" s="33"/>
      <c r="F113" s="33"/>
      <c r="G113" s="33"/>
      <c r="H113" s="76"/>
      <c r="I113" s="140"/>
      <c r="J113" s="140"/>
      <c r="K113" s="140"/>
      <c r="L113" s="138"/>
      <c r="M113" s="91"/>
      <c r="N113" s="91"/>
      <c r="O113" s="91"/>
      <c r="P113" s="91"/>
      <c r="Q113" s="91"/>
      <c r="R113" s="91"/>
      <c r="S113" s="91"/>
      <c r="T113" s="95"/>
    </row>
    <row r="114" spans="1:20" ht="13">
      <c r="A114" s="32"/>
      <c r="B114" s="30"/>
      <c r="C114" s="33"/>
      <c r="D114" s="33"/>
      <c r="E114" s="33"/>
      <c r="F114" s="33"/>
      <c r="G114" s="33"/>
      <c r="H114" s="140"/>
      <c r="I114" s="76"/>
      <c r="J114" s="140"/>
      <c r="K114" s="76"/>
      <c r="L114" s="138"/>
      <c r="M114" s="91"/>
      <c r="N114" s="91"/>
      <c r="O114" s="91"/>
      <c r="P114" s="91"/>
      <c r="Q114" s="91"/>
      <c r="R114" s="91"/>
      <c r="S114" s="91"/>
      <c r="T114" s="95"/>
    </row>
    <row r="115" spans="1:20" ht="13">
      <c r="A115" s="32"/>
      <c r="B115" s="142" t="s">
        <v>393</v>
      </c>
      <c r="C115" s="33"/>
      <c r="D115" s="303"/>
      <c r="E115" s="33"/>
      <c r="F115" s="33"/>
      <c r="G115" s="33"/>
      <c r="H115" s="33"/>
      <c r="I115" s="33"/>
      <c r="J115" s="259"/>
      <c r="K115" s="91"/>
      <c r="L115" s="91"/>
      <c r="M115" s="91"/>
      <c r="N115" s="91"/>
      <c r="O115" s="91"/>
      <c r="P115" s="91"/>
      <c r="Q115" s="91"/>
      <c r="R115" s="91"/>
      <c r="S115" s="91"/>
      <c r="T115" s="95"/>
    </row>
    <row r="116" spans="1:20" ht="13">
      <c r="A116" s="32"/>
      <c r="B116" s="30"/>
      <c r="C116" s="33"/>
      <c r="D116" s="303"/>
      <c r="E116" s="33"/>
      <c r="F116" s="33"/>
      <c r="G116" s="33"/>
      <c r="H116" s="33"/>
      <c r="I116" s="33"/>
      <c r="J116" s="259"/>
      <c r="K116" s="91"/>
      <c r="L116" s="91"/>
      <c r="M116" s="91"/>
      <c r="N116" s="91"/>
      <c r="O116" s="91"/>
      <c r="P116" s="91"/>
      <c r="Q116" s="91"/>
      <c r="R116" s="91"/>
      <c r="S116" s="91"/>
      <c r="T116" s="95"/>
    </row>
    <row r="117" spans="1:20" ht="14.5">
      <c r="A117" s="32"/>
      <c r="B117" s="30" t="s">
        <v>394</v>
      </c>
      <c r="C117" s="315" t="s">
        <v>266</v>
      </c>
      <c r="D117" s="315" t="s">
        <v>211</v>
      </c>
      <c r="E117" s="315" t="s">
        <v>395</v>
      </c>
      <c r="F117" s="33"/>
      <c r="G117" s="33"/>
      <c r="H117" s="33"/>
      <c r="I117" s="33"/>
      <c r="J117" s="315" t="s">
        <v>382</v>
      </c>
      <c r="K117" s="315" t="s">
        <v>383</v>
      </c>
      <c r="L117" s="91"/>
      <c r="M117" s="91"/>
      <c r="N117" s="91"/>
      <c r="O117" s="91"/>
      <c r="P117" s="91"/>
      <c r="Q117" s="91"/>
      <c r="R117" s="91"/>
      <c r="S117" s="91"/>
      <c r="T117" s="95"/>
    </row>
    <row r="118" spans="1:20" ht="13">
      <c r="A118" s="32"/>
      <c r="B118" s="30"/>
      <c r="C118" s="328"/>
      <c r="D118" s="342"/>
      <c r="E118" s="345"/>
      <c r="F118" s="33"/>
      <c r="G118" s="33"/>
      <c r="H118" s="33"/>
      <c r="I118" s="33"/>
      <c r="J118" s="325">
        <f t="shared" ref="J118:J144" si="5">E118</f>
        <v>0</v>
      </c>
      <c r="K118" s="325">
        <f>J118^2</f>
        <v>0</v>
      </c>
      <c r="L118" s="91"/>
      <c r="M118" s="91"/>
      <c r="N118" s="91"/>
      <c r="O118" s="91"/>
      <c r="P118" s="91"/>
      <c r="Q118" s="91"/>
      <c r="R118" s="91"/>
      <c r="S118" s="91"/>
      <c r="T118" s="95"/>
    </row>
    <row r="119" spans="1:20" ht="13">
      <c r="A119" s="32"/>
      <c r="B119" s="30"/>
      <c r="C119" s="328"/>
      <c r="D119" s="342"/>
      <c r="E119" s="345"/>
      <c r="F119" s="33"/>
      <c r="G119" s="33"/>
      <c r="H119" s="33"/>
      <c r="I119" s="33"/>
      <c r="J119" s="325">
        <f t="shared" si="5"/>
        <v>0</v>
      </c>
      <c r="K119" s="325">
        <f t="shared" ref="K119:K144" si="6">J119^2</f>
        <v>0</v>
      </c>
      <c r="L119" s="91"/>
      <c r="M119" s="91"/>
      <c r="N119" s="91"/>
      <c r="O119" s="91"/>
      <c r="P119" s="91"/>
      <c r="Q119" s="91"/>
      <c r="R119" s="91"/>
      <c r="S119" s="91"/>
      <c r="T119" s="95"/>
    </row>
    <row r="120" spans="1:20" ht="13">
      <c r="A120" s="32"/>
      <c r="B120" s="30"/>
      <c r="C120" s="328"/>
      <c r="D120" s="342"/>
      <c r="E120" s="345"/>
      <c r="F120" s="33"/>
      <c r="G120" s="33"/>
      <c r="H120" s="33"/>
      <c r="I120" s="33"/>
      <c r="J120" s="325">
        <f t="shared" si="5"/>
        <v>0</v>
      </c>
      <c r="K120" s="325">
        <f t="shared" si="6"/>
        <v>0</v>
      </c>
      <c r="L120" s="91"/>
      <c r="M120" s="91"/>
      <c r="N120" s="91"/>
      <c r="O120" s="91"/>
      <c r="P120" s="91"/>
      <c r="Q120" s="91"/>
      <c r="R120" s="91"/>
      <c r="S120" s="91"/>
      <c r="T120" s="95"/>
    </row>
    <row r="121" spans="1:20" ht="13">
      <c r="A121" s="32"/>
      <c r="B121" s="30"/>
      <c r="C121" s="328"/>
      <c r="D121" s="342"/>
      <c r="E121" s="345"/>
      <c r="F121" s="33"/>
      <c r="G121" s="33"/>
      <c r="H121" s="33"/>
      <c r="I121" s="33"/>
      <c r="J121" s="325">
        <f t="shared" si="5"/>
        <v>0</v>
      </c>
      <c r="K121" s="325">
        <f t="shared" si="6"/>
        <v>0</v>
      </c>
      <c r="L121" s="91"/>
      <c r="M121" s="91"/>
      <c r="N121" s="91"/>
      <c r="O121" s="91"/>
      <c r="P121" s="91"/>
      <c r="Q121" s="91"/>
      <c r="R121" s="91"/>
      <c r="S121" s="91"/>
      <c r="T121" s="95"/>
    </row>
    <row r="122" spans="1:20" ht="13">
      <c r="A122" s="32"/>
      <c r="B122" s="30"/>
      <c r="C122" s="328"/>
      <c r="D122" s="342"/>
      <c r="E122" s="345"/>
      <c r="F122" s="33"/>
      <c r="G122" s="33"/>
      <c r="H122" s="33"/>
      <c r="I122" s="33"/>
      <c r="J122" s="325">
        <f t="shared" si="5"/>
        <v>0</v>
      </c>
      <c r="K122" s="325">
        <f t="shared" si="6"/>
        <v>0</v>
      </c>
      <c r="L122" s="346"/>
      <c r="M122" s="91"/>
      <c r="N122" s="91"/>
      <c r="O122" s="91"/>
      <c r="P122" s="91"/>
      <c r="Q122" s="91"/>
      <c r="R122" s="91"/>
      <c r="S122" s="91"/>
      <c r="T122" s="95"/>
    </row>
    <row r="123" spans="1:20" ht="13">
      <c r="A123" s="32"/>
      <c r="B123" s="30"/>
      <c r="C123" s="328"/>
      <c r="D123" s="342"/>
      <c r="E123" s="345"/>
      <c r="F123" s="33"/>
      <c r="G123" s="33"/>
      <c r="H123" s="33"/>
      <c r="I123" s="33"/>
      <c r="J123" s="325">
        <f t="shared" si="5"/>
        <v>0</v>
      </c>
      <c r="K123" s="325">
        <f t="shared" si="6"/>
        <v>0</v>
      </c>
      <c r="L123" s="91"/>
      <c r="M123" s="91"/>
      <c r="N123" s="91"/>
      <c r="O123" s="91"/>
      <c r="P123" s="91"/>
      <c r="Q123" s="91"/>
      <c r="R123" s="91"/>
      <c r="S123" s="91"/>
      <c r="T123" s="95"/>
    </row>
    <row r="124" spans="1:20" ht="13">
      <c r="A124" s="32"/>
      <c r="B124" s="30"/>
      <c r="C124" s="328"/>
      <c r="D124" s="342"/>
      <c r="E124" s="345"/>
      <c r="F124" s="33"/>
      <c r="G124" s="33"/>
      <c r="H124" s="33"/>
      <c r="I124" s="33"/>
      <c r="J124" s="325">
        <f t="shared" si="5"/>
        <v>0</v>
      </c>
      <c r="K124" s="325">
        <f t="shared" si="6"/>
        <v>0</v>
      </c>
      <c r="L124" s="91"/>
      <c r="M124" s="91"/>
      <c r="N124" s="91"/>
      <c r="O124" s="91"/>
      <c r="P124" s="91"/>
      <c r="Q124" s="91"/>
      <c r="R124" s="91"/>
      <c r="S124" s="91"/>
      <c r="T124" s="95"/>
    </row>
    <row r="125" spans="1:20" ht="13">
      <c r="A125" s="32"/>
      <c r="B125" s="30"/>
      <c r="C125" s="328"/>
      <c r="D125" s="342"/>
      <c r="E125" s="345"/>
      <c r="F125" s="33"/>
      <c r="G125" s="33"/>
      <c r="H125" s="33"/>
      <c r="I125" s="33"/>
      <c r="J125" s="325">
        <f t="shared" si="5"/>
        <v>0</v>
      </c>
      <c r="K125" s="325">
        <f t="shared" si="6"/>
        <v>0</v>
      </c>
      <c r="L125" s="91"/>
      <c r="M125" s="91"/>
      <c r="N125" s="91"/>
      <c r="O125" s="91"/>
      <c r="P125" s="91"/>
      <c r="Q125" s="91"/>
      <c r="R125" s="91"/>
      <c r="S125" s="91"/>
      <c r="T125" s="95"/>
    </row>
    <row r="126" spans="1:20" ht="13">
      <c r="A126" s="32"/>
      <c r="B126" s="30"/>
      <c r="C126" s="328"/>
      <c r="D126" s="342"/>
      <c r="E126" s="345"/>
      <c r="F126" s="33"/>
      <c r="G126" s="33"/>
      <c r="H126" s="33"/>
      <c r="I126" s="33"/>
      <c r="J126" s="325">
        <f t="shared" si="5"/>
        <v>0</v>
      </c>
      <c r="K126" s="325">
        <f t="shared" si="6"/>
        <v>0</v>
      </c>
      <c r="L126" s="91"/>
      <c r="M126" s="91"/>
      <c r="N126" s="91"/>
      <c r="O126" s="91"/>
      <c r="P126" s="91"/>
      <c r="Q126" s="91"/>
      <c r="R126" s="91"/>
      <c r="S126" s="91"/>
      <c r="T126" s="95"/>
    </row>
    <row r="127" spans="1:20" ht="13">
      <c r="A127" s="32"/>
      <c r="B127" s="30"/>
      <c r="C127" s="328"/>
      <c r="D127" s="342"/>
      <c r="E127" s="345"/>
      <c r="F127" s="33"/>
      <c r="G127" s="33"/>
      <c r="H127" s="33"/>
      <c r="I127" s="33"/>
      <c r="J127" s="325">
        <f t="shared" si="5"/>
        <v>0</v>
      </c>
      <c r="K127" s="325">
        <f t="shared" si="6"/>
        <v>0</v>
      </c>
      <c r="L127" s="91"/>
      <c r="M127" s="91"/>
      <c r="N127" s="91"/>
      <c r="O127" s="91"/>
      <c r="P127" s="91"/>
      <c r="Q127" s="91"/>
      <c r="R127" s="91"/>
      <c r="S127" s="91"/>
      <c r="T127" s="95"/>
    </row>
    <row r="128" spans="1:20" ht="13">
      <c r="A128" s="32"/>
      <c r="B128" s="30"/>
      <c r="C128" s="328"/>
      <c r="D128" s="342"/>
      <c r="E128" s="345"/>
      <c r="F128" s="33"/>
      <c r="G128" s="33"/>
      <c r="H128" s="33"/>
      <c r="I128" s="33"/>
      <c r="J128" s="325">
        <f t="shared" si="5"/>
        <v>0</v>
      </c>
      <c r="K128" s="325">
        <f t="shared" si="6"/>
        <v>0</v>
      </c>
      <c r="L128" s="91"/>
      <c r="M128" s="91"/>
      <c r="N128" s="91"/>
      <c r="O128" s="91"/>
      <c r="P128" s="91"/>
      <c r="Q128" s="91"/>
      <c r="R128" s="91"/>
      <c r="S128" s="91"/>
      <c r="T128" s="95"/>
    </row>
    <row r="129" spans="1:20" ht="13">
      <c r="A129" s="32"/>
      <c r="B129" s="30"/>
      <c r="C129" s="328"/>
      <c r="D129" s="342"/>
      <c r="E129" s="345"/>
      <c r="F129" s="33"/>
      <c r="G129" s="33"/>
      <c r="H129" s="33"/>
      <c r="I129" s="33"/>
      <c r="J129" s="325">
        <f t="shared" si="5"/>
        <v>0</v>
      </c>
      <c r="K129" s="325">
        <f t="shared" si="6"/>
        <v>0</v>
      </c>
      <c r="L129" s="91"/>
      <c r="M129" s="91"/>
      <c r="N129" s="91"/>
      <c r="O129" s="91"/>
      <c r="P129" s="91"/>
      <c r="Q129" s="91"/>
      <c r="R129" s="91"/>
      <c r="S129" s="91"/>
      <c r="T129" s="95"/>
    </row>
    <row r="130" spans="1:20" ht="13">
      <c r="A130" s="32"/>
      <c r="B130" s="30"/>
      <c r="C130" s="328"/>
      <c r="D130" s="342"/>
      <c r="E130" s="345"/>
      <c r="F130" s="33"/>
      <c r="G130" s="33"/>
      <c r="H130" s="33"/>
      <c r="I130" s="33"/>
      <c r="J130" s="325">
        <f t="shared" si="5"/>
        <v>0</v>
      </c>
      <c r="K130" s="325">
        <f t="shared" si="6"/>
        <v>0</v>
      </c>
      <c r="L130" s="91"/>
      <c r="M130" s="91"/>
      <c r="N130" s="91"/>
      <c r="O130" s="91"/>
      <c r="P130" s="91"/>
      <c r="Q130" s="91"/>
      <c r="R130" s="91"/>
      <c r="S130" s="91"/>
      <c r="T130" s="95"/>
    </row>
    <row r="131" spans="1:20" ht="12.75" hidden="1" customHeight="1">
      <c r="A131" s="32"/>
      <c r="B131" s="30"/>
      <c r="C131" s="328"/>
      <c r="D131" s="342"/>
      <c r="E131" s="345"/>
      <c r="F131" s="33"/>
      <c r="G131" s="33"/>
      <c r="H131" s="33"/>
      <c r="I131" s="33"/>
      <c r="J131" s="325">
        <f t="shared" si="5"/>
        <v>0</v>
      </c>
      <c r="K131" s="325">
        <f t="shared" si="6"/>
        <v>0</v>
      </c>
      <c r="L131" s="91"/>
      <c r="M131" s="91"/>
      <c r="N131" s="91"/>
      <c r="O131" s="91"/>
      <c r="P131" s="91"/>
      <c r="Q131" s="91"/>
      <c r="R131" s="91"/>
      <c r="S131" s="91"/>
      <c r="T131" s="95"/>
    </row>
    <row r="132" spans="1:20" ht="12.75" hidden="1" customHeight="1">
      <c r="A132" s="32"/>
      <c r="B132" s="30"/>
      <c r="C132" s="328"/>
      <c r="D132" s="342"/>
      <c r="E132" s="345"/>
      <c r="F132" s="33"/>
      <c r="G132" s="33"/>
      <c r="H132" s="33"/>
      <c r="I132" s="33"/>
      <c r="J132" s="325">
        <f t="shared" si="5"/>
        <v>0</v>
      </c>
      <c r="K132" s="325">
        <f t="shared" si="6"/>
        <v>0</v>
      </c>
      <c r="L132" s="91"/>
      <c r="M132" s="91"/>
      <c r="N132" s="91"/>
      <c r="O132" s="91"/>
      <c r="P132" s="91"/>
      <c r="Q132" s="91"/>
      <c r="R132" s="91"/>
      <c r="S132" s="91"/>
      <c r="T132" s="95"/>
    </row>
    <row r="133" spans="1:20" ht="12.75" hidden="1" customHeight="1">
      <c r="A133" s="32"/>
      <c r="B133" s="30"/>
      <c r="C133" s="328"/>
      <c r="D133" s="342"/>
      <c r="E133" s="345"/>
      <c r="F133" s="33"/>
      <c r="G133" s="33"/>
      <c r="H133" s="33"/>
      <c r="I133" s="33"/>
      <c r="J133" s="325">
        <f t="shared" si="5"/>
        <v>0</v>
      </c>
      <c r="K133" s="325">
        <f t="shared" si="6"/>
        <v>0</v>
      </c>
      <c r="L133" s="91"/>
      <c r="M133" s="91"/>
      <c r="N133" s="91"/>
      <c r="O133" s="91"/>
      <c r="P133" s="91"/>
      <c r="Q133" s="91"/>
      <c r="R133" s="91"/>
      <c r="S133" s="91"/>
      <c r="T133" s="95"/>
    </row>
    <row r="134" spans="1:20" ht="12.75" hidden="1" customHeight="1">
      <c r="A134" s="32"/>
      <c r="B134" s="30"/>
      <c r="C134" s="328"/>
      <c r="D134" s="342"/>
      <c r="E134" s="345"/>
      <c r="F134" s="33"/>
      <c r="G134" s="33"/>
      <c r="H134" s="33"/>
      <c r="I134" s="33"/>
      <c r="J134" s="325">
        <f t="shared" si="5"/>
        <v>0</v>
      </c>
      <c r="K134" s="325">
        <f t="shared" si="6"/>
        <v>0</v>
      </c>
      <c r="L134" s="91"/>
      <c r="M134" s="91"/>
      <c r="N134" s="91"/>
      <c r="O134" s="91"/>
      <c r="P134" s="91"/>
      <c r="Q134" s="91"/>
      <c r="R134" s="91"/>
      <c r="S134" s="91"/>
      <c r="T134" s="95"/>
    </row>
    <row r="135" spans="1:20" ht="12.75" hidden="1" customHeight="1">
      <c r="A135" s="32"/>
      <c r="B135" s="30"/>
      <c r="C135" s="328"/>
      <c r="D135" s="342"/>
      <c r="E135" s="345"/>
      <c r="F135" s="33"/>
      <c r="G135" s="33"/>
      <c r="H135" s="33"/>
      <c r="I135" s="33"/>
      <c r="J135" s="325">
        <f t="shared" si="5"/>
        <v>0</v>
      </c>
      <c r="K135" s="325">
        <f t="shared" si="6"/>
        <v>0</v>
      </c>
      <c r="L135" s="91"/>
      <c r="M135" s="91"/>
      <c r="N135" s="91"/>
      <c r="O135" s="91"/>
      <c r="P135" s="91"/>
      <c r="Q135" s="91"/>
      <c r="R135" s="91"/>
      <c r="S135" s="91"/>
      <c r="T135" s="95"/>
    </row>
    <row r="136" spans="1:20" ht="12.75" hidden="1" customHeight="1">
      <c r="A136" s="32"/>
      <c r="B136" s="30"/>
      <c r="C136" s="328"/>
      <c r="D136" s="342"/>
      <c r="E136" s="345"/>
      <c r="F136" s="33"/>
      <c r="G136" s="33"/>
      <c r="H136" s="33"/>
      <c r="I136" s="33"/>
      <c r="J136" s="325">
        <f t="shared" si="5"/>
        <v>0</v>
      </c>
      <c r="K136" s="325">
        <f t="shared" si="6"/>
        <v>0</v>
      </c>
      <c r="L136" s="91"/>
      <c r="M136" s="91"/>
      <c r="N136" s="91"/>
      <c r="O136" s="91"/>
      <c r="P136" s="91"/>
      <c r="Q136" s="91"/>
      <c r="R136" s="91"/>
      <c r="S136" s="91"/>
      <c r="T136" s="95"/>
    </row>
    <row r="137" spans="1:20" ht="12.75" hidden="1" customHeight="1">
      <c r="A137" s="32"/>
      <c r="B137" s="30"/>
      <c r="C137" s="328"/>
      <c r="D137" s="342"/>
      <c r="E137" s="345"/>
      <c r="F137" s="33"/>
      <c r="G137" s="33"/>
      <c r="H137" s="33"/>
      <c r="I137" s="33"/>
      <c r="J137" s="325">
        <f t="shared" si="5"/>
        <v>0</v>
      </c>
      <c r="K137" s="325">
        <f t="shared" si="6"/>
        <v>0</v>
      </c>
      <c r="L137" s="91"/>
      <c r="M137" s="91"/>
      <c r="N137" s="91"/>
      <c r="O137" s="91"/>
      <c r="P137" s="91"/>
      <c r="Q137" s="91"/>
      <c r="R137" s="91"/>
      <c r="S137" s="91"/>
      <c r="T137" s="95"/>
    </row>
    <row r="138" spans="1:20" ht="12.75" hidden="1" customHeight="1">
      <c r="A138" s="32"/>
      <c r="B138" s="30"/>
      <c r="C138" s="328"/>
      <c r="D138" s="342"/>
      <c r="E138" s="345"/>
      <c r="F138" s="33"/>
      <c r="G138" s="33"/>
      <c r="H138" s="33"/>
      <c r="I138" s="33"/>
      <c r="J138" s="325">
        <f t="shared" si="5"/>
        <v>0</v>
      </c>
      <c r="K138" s="325">
        <f t="shared" si="6"/>
        <v>0</v>
      </c>
      <c r="L138" s="91"/>
      <c r="M138" s="91"/>
      <c r="N138" s="91"/>
      <c r="O138" s="91"/>
      <c r="P138" s="91"/>
      <c r="Q138" s="91"/>
      <c r="R138" s="91"/>
      <c r="S138" s="91"/>
      <c r="T138" s="95"/>
    </row>
    <row r="139" spans="1:20" ht="12.75" hidden="1" customHeight="1">
      <c r="A139" s="32"/>
      <c r="B139" s="30"/>
      <c r="C139" s="328"/>
      <c r="D139" s="342"/>
      <c r="E139" s="345"/>
      <c r="F139" s="33"/>
      <c r="G139" s="33"/>
      <c r="H139" s="33"/>
      <c r="I139" s="33"/>
      <c r="J139" s="325">
        <f t="shared" si="5"/>
        <v>0</v>
      </c>
      <c r="K139" s="325">
        <f t="shared" si="6"/>
        <v>0</v>
      </c>
      <c r="L139" s="91"/>
      <c r="M139" s="91"/>
      <c r="N139" s="91"/>
      <c r="O139" s="91"/>
      <c r="P139" s="91"/>
      <c r="Q139" s="91"/>
      <c r="R139" s="91"/>
      <c r="S139" s="91"/>
      <c r="T139" s="95"/>
    </row>
    <row r="140" spans="1:20" ht="12.75" hidden="1" customHeight="1">
      <c r="A140" s="32"/>
      <c r="B140" s="30"/>
      <c r="C140" s="328"/>
      <c r="D140" s="342"/>
      <c r="E140" s="345"/>
      <c r="F140" s="33"/>
      <c r="G140" s="33"/>
      <c r="H140" s="33"/>
      <c r="I140" s="33"/>
      <c r="J140" s="325">
        <f t="shared" si="5"/>
        <v>0</v>
      </c>
      <c r="K140" s="325">
        <f t="shared" si="6"/>
        <v>0</v>
      </c>
      <c r="L140" s="91"/>
      <c r="M140" s="91"/>
      <c r="N140" s="91"/>
      <c r="O140" s="91"/>
      <c r="P140" s="91"/>
      <c r="Q140" s="91"/>
      <c r="R140" s="91"/>
      <c r="S140" s="91"/>
      <c r="T140" s="95"/>
    </row>
    <row r="141" spans="1:20" ht="12.75" hidden="1" customHeight="1">
      <c r="A141" s="32"/>
      <c r="B141" s="30"/>
      <c r="C141" s="328"/>
      <c r="D141" s="342"/>
      <c r="E141" s="345"/>
      <c r="F141" s="33"/>
      <c r="G141" s="33"/>
      <c r="H141" s="33"/>
      <c r="I141" s="33"/>
      <c r="J141" s="325">
        <f t="shared" si="5"/>
        <v>0</v>
      </c>
      <c r="K141" s="325">
        <f t="shared" si="6"/>
        <v>0</v>
      </c>
      <c r="L141" s="91"/>
      <c r="M141" s="91"/>
      <c r="N141" s="91"/>
      <c r="O141" s="91"/>
      <c r="P141" s="91"/>
      <c r="Q141" s="91"/>
      <c r="R141" s="91"/>
      <c r="S141" s="91"/>
      <c r="T141" s="95"/>
    </row>
    <row r="142" spans="1:20" ht="12.75" hidden="1" customHeight="1">
      <c r="A142" s="32"/>
      <c r="B142" s="30"/>
      <c r="C142" s="328"/>
      <c r="D142" s="342"/>
      <c r="E142" s="345"/>
      <c r="F142" s="33"/>
      <c r="G142" s="33"/>
      <c r="H142" s="33"/>
      <c r="I142" s="33"/>
      <c r="J142" s="325">
        <f t="shared" si="5"/>
        <v>0</v>
      </c>
      <c r="K142" s="325">
        <f t="shared" si="6"/>
        <v>0</v>
      </c>
      <c r="L142" s="91"/>
      <c r="M142" s="91"/>
      <c r="N142" s="91"/>
      <c r="O142" s="91"/>
      <c r="P142" s="91"/>
      <c r="Q142" s="91"/>
      <c r="R142" s="91"/>
      <c r="S142" s="91"/>
      <c r="T142" s="95"/>
    </row>
    <row r="143" spans="1:20" ht="12.75" hidden="1" customHeight="1">
      <c r="A143" s="32"/>
      <c r="B143" s="30"/>
      <c r="C143" s="328"/>
      <c r="D143" s="342"/>
      <c r="E143" s="345"/>
      <c r="F143" s="33"/>
      <c r="G143" s="33"/>
      <c r="H143" s="33"/>
      <c r="I143" s="33"/>
      <c r="J143" s="325">
        <f t="shared" si="5"/>
        <v>0</v>
      </c>
      <c r="K143" s="325">
        <f t="shared" si="6"/>
        <v>0</v>
      </c>
      <c r="L143" s="91"/>
      <c r="M143" s="91"/>
      <c r="N143" s="91"/>
      <c r="O143" s="91"/>
      <c r="P143" s="91"/>
      <c r="Q143" s="91"/>
      <c r="R143" s="91"/>
      <c r="S143" s="91"/>
      <c r="T143" s="95"/>
    </row>
    <row r="144" spans="1:20" ht="12.75" hidden="1" customHeight="1">
      <c r="A144" s="32"/>
      <c r="B144" s="30"/>
      <c r="C144" s="328"/>
      <c r="D144" s="342"/>
      <c r="E144" s="345"/>
      <c r="F144" s="33"/>
      <c r="G144" s="33"/>
      <c r="H144" s="33"/>
      <c r="I144" s="33"/>
      <c r="J144" s="325">
        <f t="shared" si="5"/>
        <v>0</v>
      </c>
      <c r="K144" s="325">
        <f t="shared" si="6"/>
        <v>0</v>
      </c>
      <c r="L144" s="91"/>
      <c r="M144" s="91"/>
      <c r="N144" s="91"/>
      <c r="O144" s="91"/>
      <c r="P144" s="91"/>
      <c r="Q144" s="91"/>
      <c r="R144" s="91"/>
      <c r="S144" s="91"/>
      <c r="T144" s="95"/>
    </row>
    <row r="145" spans="1:20" ht="13">
      <c r="A145" s="32"/>
      <c r="B145" s="33"/>
      <c r="C145" s="33"/>
      <c r="D145" s="76" t="s">
        <v>396</v>
      </c>
      <c r="E145" s="325">
        <f>SUM(E118:E144)</f>
        <v>0</v>
      </c>
      <c r="F145" s="259"/>
      <c r="G145" s="259"/>
      <c r="H145" s="259"/>
      <c r="I145" s="33"/>
      <c r="J145" s="259"/>
      <c r="K145" s="91"/>
      <c r="L145" s="91"/>
      <c r="M145" s="91"/>
      <c r="N145" s="91"/>
      <c r="O145" s="91"/>
      <c r="P145" s="91"/>
      <c r="Q145" s="91"/>
      <c r="R145" s="91"/>
      <c r="S145" s="91"/>
      <c r="T145" s="95"/>
    </row>
    <row r="146" spans="1:20">
      <c r="A146" s="32"/>
      <c r="B146" s="33"/>
      <c r="C146" s="33"/>
      <c r="D146" s="33"/>
      <c r="E146" s="33"/>
      <c r="F146" s="259"/>
      <c r="G146" s="259"/>
      <c r="H146" s="259"/>
      <c r="I146" s="33"/>
      <c r="J146" s="259"/>
      <c r="K146" s="259"/>
      <c r="L146" s="91"/>
      <c r="M146" s="91"/>
      <c r="N146" s="91"/>
      <c r="O146" s="91"/>
      <c r="P146" s="91"/>
      <c r="Q146" s="91"/>
      <c r="R146" s="91"/>
      <c r="S146" s="91"/>
      <c r="T146" s="95"/>
    </row>
    <row r="147" spans="1:20" ht="15">
      <c r="A147" s="32"/>
      <c r="B147" s="59" t="s">
        <v>397</v>
      </c>
      <c r="C147" s="33"/>
      <c r="D147" s="33"/>
      <c r="E147" s="33"/>
      <c r="F147" s="33"/>
      <c r="G147" s="33"/>
      <c r="H147" s="259"/>
      <c r="I147" s="259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5"/>
    </row>
    <row r="148" spans="1:20" ht="13">
      <c r="A148" s="32"/>
      <c r="B148" s="59"/>
      <c r="C148" s="33"/>
      <c r="D148" s="33"/>
      <c r="E148" s="33"/>
      <c r="F148" s="33"/>
      <c r="G148" s="33"/>
      <c r="H148" s="259"/>
      <c r="I148" s="259"/>
      <c r="J148" s="91"/>
      <c r="K148" s="91"/>
      <c r="L148" s="130"/>
      <c r="M148" s="91"/>
      <c r="N148" s="91"/>
      <c r="O148" s="91"/>
      <c r="P148" s="91"/>
      <c r="Q148" s="91"/>
      <c r="R148" s="91"/>
      <c r="S148" s="91"/>
      <c r="T148" s="95"/>
    </row>
    <row r="149" spans="1:20" ht="13">
      <c r="A149" s="32"/>
      <c r="B149" s="30" t="s">
        <v>398</v>
      </c>
      <c r="C149" s="442" t="s">
        <v>399</v>
      </c>
      <c r="D149" s="434" t="s">
        <v>211</v>
      </c>
      <c r="E149" s="434" t="s">
        <v>212</v>
      </c>
      <c r="F149" s="434" t="s">
        <v>400</v>
      </c>
      <c r="G149" s="434" t="s">
        <v>401</v>
      </c>
      <c r="H149" s="434" t="s">
        <v>402</v>
      </c>
      <c r="I149" s="436" t="s">
        <v>403</v>
      </c>
      <c r="J149" s="437"/>
      <c r="K149" s="437"/>
      <c r="L149" s="437"/>
      <c r="M149" s="437"/>
      <c r="N149" s="437"/>
      <c r="O149" s="437"/>
      <c r="P149" s="437"/>
      <c r="Q149" s="437"/>
      <c r="R149" s="438"/>
      <c r="S149" s="91"/>
      <c r="T149" s="95"/>
    </row>
    <row r="150" spans="1:20" ht="13">
      <c r="A150" s="32"/>
      <c r="B150" s="30"/>
      <c r="C150" s="435"/>
      <c r="D150" s="435"/>
      <c r="E150" s="435"/>
      <c r="F150" s="435"/>
      <c r="G150" s="435"/>
      <c r="H150" s="435"/>
      <c r="I150" s="143">
        <v>2.0000000000000002E-5</v>
      </c>
      <c r="J150" s="143">
        <v>1E-4</v>
      </c>
      <c r="K150" s="143">
        <v>5.0000000000000001E-4</v>
      </c>
      <c r="L150" s="143">
        <v>2.3999999999999998E-3</v>
      </c>
      <c r="M150" s="143">
        <v>1.2E-2</v>
      </c>
      <c r="N150" s="143">
        <v>4.1750000000000002E-2</v>
      </c>
      <c r="O150" s="143">
        <v>4.1750000000000002E-2</v>
      </c>
      <c r="P150" s="143">
        <v>5.0000000000000001E-4</v>
      </c>
      <c r="Q150" s="143">
        <v>5.0000000000000001E-3</v>
      </c>
      <c r="R150" s="143">
        <v>4.1750000000000002E-2</v>
      </c>
      <c r="S150" s="91"/>
      <c r="T150" s="95"/>
    </row>
    <row r="151" spans="1:20" ht="13">
      <c r="A151" s="32"/>
      <c r="B151" s="30"/>
      <c r="C151" s="435"/>
      <c r="D151" s="347" t="s">
        <v>221</v>
      </c>
      <c r="E151" s="348">
        <v>0</v>
      </c>
      <c r="F151" s="349">
        <v>2.0000000000000002E-5</v>
      </c>
      <c r="G151" s="350">
        <f t="shared" ref="G151:G160" si="7">SUMIF($D$12:$D$144,$D151,$J$12:$J$144)</f>
        <v>0</v>
      </c>
      <c r="H151" s="350">
        <f t="shared" ref="H151:H160" si="8">SUMIF($D$12:$D$144,$D151,$K$12:$K$144)</f>
        <v>0</v>
      </c>
      <c r="I151" s="144">
        <f t="shared" ref="I151:I160" si="9">(F151*(1-F151)*$I$150*(1-$I$150))/(1.25*(F151+$I$150)-F151*$I$150)</f>
        <v>7.9997440011520099E-6</v>
      </c>
      <c r="J151" s="144">
        <f t="shared" ref="J151:J160" si="10">(F151*(1-F151)*$J$150*(1-$J$150))/(1.25*(F151+$J$150)-F151*$J$150)</f>
        <v>1.3331911118814919E-5</v>
      </c>
      <c r="K151" s="144">
        <f t="shared" ref="K151:K160" si="11">(F151*(1-F151)*$K$150*(1-$K$150))/(1.25*(F151+$K$150)-F151*$K$150)</f>
        <v>1.5376852105417008E-5</v>
      </c>
      <c r="L151" s="144">
        <f t="shared" ref="L151:L160" si="12">(F151*(1-F151)*$L$150*(1-$L$150))/(1.25*(F151+$L$150)-F151*$L$150)</f>
        <v>1.5829620537449852E-5</v>
      </c>
      <c r="M151" s="144">
        <f t="shared" ref="M151:M160" si="13">(F151*(1-F151)*$M$150*(1-$M$150))/(1.25*(F151+$M$150)-F151*$M$150)</f>
        <v>1.5781633623432256E-5</v>
      </c>
      <c r="N151" s="144">
        <f t="shared" ref="N151:N160" si="14">(F151*(1-F151)*$N$150*(1-$N$150))/(1.25*(F151+$N$150)-F151*$N$150)</f>
        <v>1.5324597429041958E-5</v>
      </c>
      <c r="O151" s="144">
        <f t="shared" ref="O151:O160" si="15">(F151*(1-F151)*$O$150*(1-$O$150))/(1.25*(F151+$O$150)-F151*$O$150)</f>
        <v>1.5324597429041958E-5</v>
      </c>
      <c r="P151" s="144">
        <f>($F151*(1-$F151)*P$150*(1-P$150))/(1.25*($F151+P$150)-$F151*P$150)</f>
        <v>1.5376852105417008E-5</v>
      </c>
      <c r="Q151" s="144">
        <f>($F151*(1-$F151)*Q$150*(1-Q$150))/(1.25*($F151+Q$150)-$F151*Q$150)</f>
        <v>1.5856509267079955E-5</v>
      </c>
      <c r="R151" s="145">
        <f t="shared" ref="R151:R160" si="16">(F151*(1-F151)*$R$150*(1-$R$150))/(1.25*(F151+$R$150)-F151*$R$150)</f>
        <v>1.5324597429041958E-5</v>
      </c>
      <c r="S151" s="145">
        <f t="shared" ref="S151:S160" si="17">1.5*F151*(1-F151)/(2.5-F151)</f>
        <v>1.1999855998847993E-5</v>
      </c>
      <c r="T151" s="95"/>
    </row>
    <row r="152" spans="1:20" ht="13">
      <c r="A152" s="32"/>
      <c r="B152" s="30"/>
      <c r="C152" s="435"/>
      <c r="D152" s="347" t="s">
        <v>223</v>
      </c>
      <c r="E152" s="348">
        <v>1</v>
      </c>
      <c r="F152" s="349">
        <v>1E-4</v>
      </c>
      <c r="G152" s="350">
        <f t="shared" si="7"/>
        <v>0</v>
      </c>
      <c r="H152" s="350">
        <f t="shared" si="8"/>
        <v>0</v>
      </c>
      <c r="I152" s="144">
        <f t="shared" si="9"/>
        <v>1.3331911118814919E-5</v>
      </c>
      <c r="J152" s="144">
        <f t="shared" si="10"/>
        <v>3.9993600144005761E-5</v>
      </c>
      <c r="K152" s="144">
        <f t="shared" si="11"/>
        <v>6.6631112074138279E-5</v>
      </c>
      <c r="L152" s="144">
        <f t="shared" si="12"/>
        <v>7.6613902379702773E-5</v>
      </c>
      <c r="M152" s="144">
        <f t="shared" si="13"/>
        <v>7.8385157169494449E-5</v>
      </c>
      <c r="N152" s="144">
        <f t="shared" si="14"/>
        <v>7.6475277704361597E-5</v>
      </c>
      <c r="O152" s="144">
        <f t="shared" si="15"/>
        <v>7.6475277704361597E-5</v>
      </c>
      <c r="P152" s="144">
        <f t="shared" ref="P152:P160" si="18">(F152*(1-F152)*$P$150*(1-$P$150))/(1.25*(F152+$P$150)-F152*$P$150)</f>
        <v>6.6631112074138279E-5</v>
      </c>
      <c r="Q152" s="144">
        <f t="shared" ref="Q152:Q160" si="19">($F152*(1-$F152)*Q$150*(1-Q$150))/(1.25*($F152+Q$150)-$F152*Q$150)</f>
        <v>7.8037532355478857E-5</v>
      </c>
      <c r="R152" s="146">
        <f t="shared" si="16"/>
        <v>7.6475277704361597E-5</v>
      </c>
      <c r="S152" s="146">
        <f t="shared" si="17"/>
        <v>5.9996399855994255E-5</v>
      </c>
      <c r="T152" s="95"/>
    </row>
    <row r="153" spans="1:20" ht="13">
      <c r="A153" s="32"/>
      <c r="B153" s="30"/>
      <c r="C153" s="435"/>
      <c r="D153" s="347" t="s">
        <v>225</v>
      </c>
      <c r="E153" s="348">
        <v>2</v>
      </c>
      <c r="F153" s="349">
        <v>5.0000000000000001E-4</v>
      </c>
      <c r="G153" s="350">
        <f t="shared" si="7"/>
        <v>0</v>
      </c>
      <c r="H153" s="350">
        <f t="shared" si="8"/>
        <v>0</v>
      </c>
      <c r="I153" s="144">
        <f t="shared" si="9"/>
        <v>1.5376852105417008E-5</v>
      </c>
      <c r="J153" s="144">
        <f t="shared" si="10"/>
        <v>6.6631112074138293E-5</v>
      </c>
      <c r="K153" s="144">
        <f t="shared" si="11"/>
        <v>1.9984001800360076E-4</v>
      </c>
      <c r="L153" s="144">
        <f t="shared" si="12"/>
        <v>3.3018418235001938E-4</v>
      </c>
      <c r="M153" s="144">
        <f t="shared" si="13"/>
        <v>3.7934797362187088E-4</v>
      </c>
      <c r="N153" s="144">
        <f t="shared" si="14"/>
        <v>3.7872422028352036E-4</v>
      </c>
      <c r="O153" s="144">
        <f t="shared" si="15"/>
        <v>3.7872422028352036E-4</v>
      </c>
      <c r="P153" s="144">
        <f t="shared" si="18"/>
        <v>1.9984001800360076E-4</v>
      </c>
      <c r="Q153" s="144">
        <f t="shared" si="19"/>
        <v>3.6176882502728276E-4</v>
      </c>
      <c r="R153" s="146">
        <f t="shared" si="16"/>
        <v>3.7872422028352036E-4</v>
      </c>
      <c r="S153" s="146">
        <f t="shared" si="17"/>
        <v>2.9990998199639935E-4</v>
      </c>
      <c r="T153" s="95"/>
    </row>
    <row r="154" spans="1:20" ht="13">
      <c r="A154" s="32"/>
      <c r="B154" s="30"/>
      <c r="C154" s="435"/>
      <c r="D154" s="347" t="s">
        <v>227</v>
      </c>
      <c r="E154" s="348">
        <v>3</v>
      </c>
      <c r="F154" s="349">
        <v>2.3999999999999998E-3</v>
      </c>
      <c r="G154" s="350">
        <f t="shared" si="7"/>
        <v>0</v>
      </c>
      <c r="H154" s="350">
        <f t="shared" si="8"/>
        <v>0</v>
      </c>
      <c r="I154" s="144">
        <f t="shared" si="9"/>
        <v>1.5829620537449848E-5</v>
      </c>
      <c r="J154" s="144">
        <f t="shared" si="10"/>
        <v>7.661390237970276E-5</v>
      </c>
      <c r="K154" s="144">
        <f t="shared" si="11"/>
        <v>3.3018418235001933E-4</v>
      </c>
      <c r="L154" s="144">
        <f t="shared" si="12"/>
        <v>9.5631559256886595E-4</v>
      </c>
      <c r="M154" s="144">
        <f t="shared" si="13"/>
        <v>1.5795333333333333E-3</v>
      </c>
      <c r="N154" s="144">
        <f t="shared" si="14"/>
        <v>1.7388074935602215E-3</v>
      </c>
      <c r="O154" s="144">
        <f t="shared" si="15"/>
        <v>1.7388074935602215E-3</v>
      </c>
      <c r="P154" s="144">
        <f t="shared" si="18"/>
        <v>3.3018418235001933E-4</v>
      </c>
      <c r="Q154" s="144">
        <f t="shared" si="19"/>
        <v>1.2893855812946521E-3</v>
      </c>
      <c r="R154" s="146">
        <f t="shared" si="16"/>
        <v>1.7388074935602215E-3</v>
      </c>
      <c r="S154" s="146">
        <f t="shared" si="17"/>
        <v>1.4379244074311339E-3</v>
      </c>
      <c r="T154" s="95"/>
    </row>
    <row r="155" spans="1:20" ht="13">
      <c r="A155" s="32"/>
      <c r="B155" s="30"/>
      <c r="C155" s="435"/>
      <c r="D155" s="347" t="s">
        <v>229</v>
      </c>
      <c r="E155" s="348">
        <v>4</v>
      </c>
      <c r="F155" s="349">
        <v>1.2E-2</v>
      </c>
      <c r="G155" s="350">
        <f t="shared" si="7"/>
        <v>0</v>
      </c>
      <c r="H155" s="350">
        <f t="shared" si="8"/>
        <v>0</v>
      </c>
      <c r="I155" s="144">
        <f t="shared" si="9"/>
        <v>1.5781633623432256E-5</v>
      </c>
      <c r="J155" s="144">
        <f t="shared" si="10"/>
        <v>7.8385157169494449E-5</v>
      </c>
      <c r="K155" s="144">
        <f t="shared" si="11"/>
        <v>3.7934797362187083E-4</v>
      </c>
      <c r="L155" s="144">
        <f t="shared" si="12"/>
        <v>1.5795333333333331E-3</v>
      </c>
      <c r="M155" s="144">
        <f t="shared" si="13"/>
        <v>4.7080900321543415E-3</v>
      </c>
      <c r="N155" s="144">
        <f t="shared" si="14"/>
        <v>7.112717731474886E-3</v>
      </c>
      <c r="O155" s="144">
        <f t="shared" si="15"/>
        <v>7.112717731474886E-3</v>
      </c>
      <c r="P155" s="144">
        <f t="shared" si="18"/>
        <v>3.7934797362187083E-4</v>
      </c>
      <c r="Q155" s="144">
        <f t="shared" si="19"/>
        <v>2.7835582822085892E-3</v>
      </c>
      <c r="R155" s="146">
        <f t="shared" si="16"/>
        <v>7.112717731474886E-3</v>
      </c>
      <c r="S155" s="146">
        <f t="shared" si="17"/>
        <v>7.1479099678456596E-3</v>
      </c>
      <c r="T155" s="95"/>
    </row>
    <row r="156" spans="1:20" ht="13">
      <c r="A156" s="32"/>
      <c r="B156" s="30"/>
      <c r="C156" s="435"/>
      <c r="D156" s="347" t="s">
        <v>231</v>
      </c>
      <c r="E156" s="348">
        <v>5</v>
      </c>
      <c r="F156" s="349">
        <v>4.1750000000000002E-2</v>
      </c>
      <c r="G156" s="350">
        <f t="shared" si="7"/>
        <v>0</v>
      </c>
      <c r="H156" s="350">
        <f t="shared" si="8"/>
        <v>0</v>
      </c>
      <c r="I156" s="144">
        <f t="shared" si="9"/>
        <v>1.5324597429041958E-5</v>
      </c>
      <c r="J156" s="144">
        <f t="shared" si="10"/>
        <v>7.6475277704361597E-5</v>
      </c>
      <c r="K156" s="144">
        <f t="shared" si="11"/>
        <v>3.7872422028352036E-4</v>
      </c>
      <c r="L156" s="144">
        <f t="shared" si="12"/>
        <v>1.738807493560222E-3</v>
      </c>
      <c r="M156" s="144">
        <f t="shared" si="13"/>
        <v>7.112717731474886E-3</v>
      </c>
      <c r="N156" s="144">
        <f t="shared" si="14"/>
        <v>1.5595097268127734E-2</v>
      </c>
      <c r="O156" s="144">
        <f t="shared" si="15"/>
        <v>1.5595097268127734E-2</v>
      </c>
      <c r="P156" s="144">
        <f t="shared" si="18"/>
        <v>3.7872422028352036E-4</v>
      </c>
      <c r="Q156" s="144">
        <f t="shared" si="19"/>
        <v>3.4181484930124731E-3</v>
      </c>
      <c r="R156" s="146">
        <f t="shared" si="16"/>
        <v>1.5595097268127734E-2</v>
      </c>
      <c r="S156" s="146">
        <f t="shared" si="17"/>
        <v>2.4411840231872269E-2</v>
      </c>
      <c r="T156" s="95"/>
    </row>
    <row r="157" spans="1:20" ht="13">
      <c r="A157" s="32"/>
      <c r="B157" s="30"/>
      <c r="C157" s="435"/>
      <c r="D157" s="347" t="s">
        <v>233</v>
      </c>
      <c r="E157" s="348">
        <v>6</v>
      </c>
      <c r="F157" s="349">
        <v>4.1750000000000002E-2</v>
      </c>
      <c r="G157" s="350">
        <f t="shared" si="7"/>
        <v>0</v>
      </c>
      <c r="H157" s="350">
        <f t="shared" si="8"/>
        <v>0</v>
      </c>
      <c r="I157" s="144">
        <f t="shared" si="9"/>
        <v>1.5324597429041958E-5</v>
      </c>
      <c r="J157" s="144">
        <f t="shared" si="10"/>
        <v>7.6475277704361597E-5</v>
      </c>
      <c r="K157" s="144">
        <f t="shared" si="11"/>
        <v>3.7872422028352036E-4</v>
      </c>
      <c r="L157" s="144">
        <f t="shared" si="12"/>
        <v>1.738807493560222E-3</v>
      </c>
      <c r="M157" s="144">
        <f t="shared" si="13"/>
        <v>7.112717731474886E-3</v>
      </c>
      <c r="N157" s="144">
        <f t="shared" si="14"/>
        <v>1.5595097268127734E-2</v>
      </c>
      <c r="O157" s="144">
        <f t="shared" si="15"/>
        <v>1.5595097268127734E-2</v>
      </c>
      <c r="P157" s="144">
        <f t="shared" si="18"/>
        <v>3.7872422028352036E-4</v>
      </c>
      <c r="Q157" s="144">
        <f t="shared" si="19"/>
        <v>3.4181484930124731E-3</v>
      </c>
      <c r="R157" s="146">
        <f t="shared" si="16"/>
        <v>1.5595097268127734E-2</v>
      </c>
      <c r="S157" s="146">
        <f t="shared" si="17"/>
        <v>2.4411840231872269E-2</v>
      </c>
      <c r="T157" s="95"/>
    </row>
    <row r="158" spans="1:20" ht="13">
      <c r="A158" s="32"/>
      <c r="B158" s="30"/>
      <c r="C158" s="439" t="s">
        <v>404</v>
      </c>
      <c r="D158" s="351" t="s">
        <v>405</v>
      </c>
      <c r="E158" s="348" t="s">
        <v>236</v>
      </c>
      <c r="F158" s="352">
        <v>5.0000000000000001E-4</v>
      </c>
      <c r="G158" s="350">
        <f t="shared" si="7"/>
        <v>0</v>
      </c>
      <c r="H158" s="350">
        <f t="shared" si="8"/>
        <v>0</v>
      </c>
      <c r="I158" s="144">
        <f t="shared" si="9"/>
        <v>1.5376852105417008E-5</v>
      </c>
      <c r="J158" s="144">
        <f t="shared" si="10"/>
        <v>6.6631112074138293E-5</v>
      </c>
      <c r="K158" s="144">
        <f t="shared" si="11"/>
        <v>1.9984001800360076E-4</v>
      </c>
      <c r="L158" s="144">
        <f t="shared" si="12"/>
        <v>3.3018418235001938E-4</v>
      </c>
      <c r="M158" s="144">
        <f t="shared" si="13"/>
        <v>3.7934797362187088E-4</v>
      </c>
      <c r="N158" s="144">
        <f t="shared" si="14"/>
        <v>3.7872422028352036E-4</v>
      </c>
      <c r="O158" s="144">
        <f t="shared" si="15"/>
        <v>3.7872422028352036E-4</v>
      </c>
      <c r="P158" s="144">
        <f t="shared" si="18"/>
        <v>1.9984001800360076E-4</v>
      </c>
      <c r="Q158" s="144">
        <f t="shared" si="19"/>
        <v>3.6176882502728276E-4</v>
      </c>
      <c r="R158" s="146">
        <f t="shared" si="16"/>
        <v>3.7872422028352036E-4</v>
      </c>
      <c r="S158" s="146">
        <f t="shared" si="17"/>
        <v>2.9990998199639935E-4</v>
      </c>
      <c r="T158" s="95"/>
    </row>
    <row r="159" spans="1:20" ht="25.5">
      <c r="A159" s="32"/>
      <c r="B159" s="30"/>
      <c r="C159" s="440"/>
      <c r="D159" s="351" t="s">
        <v>406</v>
      </c>
      <c r="E159" s="348" t="s">
        <v>236</v>
      </c>
      <c r="F159" s="352">
        <v>5.0000000000000001E-3</v>
      </c>
      <c r="G159" s="350">
        <f t="shared" si="7"/>
        <v>0</v>
      </c>
      <c r="H159" s="350">
        <f t="shared" si="8"/>
        <v>0</v>
      </c>
      <c r="I159" s="144">
        <f t="shared" si="9"/>
        <v>1.5856509267079955E-5</v>
      </c>
      <c r="J159" s="144">
        <f t="shared" si="10"/>
        <v>7.8037532355478857E-5</v>
      </c>
      <c r="K159" s="144">
        <f t="shared" si="11"/>
        <v>3.6176882502728276E-4</v>
      </c>
      <c r="L159" s="144">
        <f t="shared" si="12"/>
        <v>1.2893855812946523E-3</v>
      </c>
      <c r="M159" s="144">
        <f t="shared" si="13"/>
        <v>2.7835582822085892E-3</v>
      </c>
      <c r="N159" s="144">
        <f t="shared" si="14"/>
        <v>3.4181484930124731E-3</v>
      </c>
      <c r="O159" s="144">
        <f t="shared" si="15"/>
        <v>3.4181484930124731E-3</v>
      </c>
      <c r="P159" s="144">
        <f t="shared" si="18"/>
        <v>3.6176882502728276E-4</v>
      </c>
      <c r="Q159" s="144">
        <f t="shared" si="19"/>
        <v>1.9840180360721446E-3</v>
      </c>
      <c r="R159" s="146">
        <f t="shared" si="16"/>
        <v>3.4181484930124731E-3</v>
      </c>
      <c r="S159" s="146">
        <f t="shared" si="17"/>
        <v>2.9909819639278553E-3</v>
      </c>
      <c r="T159" s="95"/>
    </row>
    <row r="160" spans="1:20" ht="13">
      <c r="A160" s="32"/>
      <c r="B160" s="30"/>
      <c r="C160" s="441"/>
      <c r="D160" s="353" t="s">
        <v>407</v>
      </c>
      <c r="E160" s="348" t="s">
        <v>236</v>
      </c>
      <c r="F160" s="349">
        <v>4.1750000000000002E-2</v>
      </c>
      <c r="G160" s="350">
        <f t="shared" si="7"/>
        <v>0</v>
      </c>
      <c r="H160" s="350">
        <f t="shared" si="8"/>
        <v>0</v>
      </c>
      <c r="I160" s="144">
        <f t="shared" si="9"/>
        <v>1.5324597429041958E-5</v>
      </c>
      <c r="J160" s="144">
        <f t="shared" si="10"/>
        <v>7.6475277704361597E-5</v>
      </c>
      <c r="K160" s="144">
        <f t="shared" si="11"/>
        <v>3.7872422028352036E-4</v>
      </c>
      <c r="L160" s="144">
        <f t="shared" si="12"/>
        <v>1.738807493560222E-3</v>
      </c>
      <c r="M160" s="144">
        <f t="shared" si="13"/>
        <v>7.112717731474886E-3</v>
      </c>
      <c r="N160" s="144">
        <f t="shared" si="14"/>
        <v>1.5595097268127734E-2</v>
      </c>
      <c r="O160" s="144">
        <f t="shared" si="15"/>
        <v>1.5595097268127734E-2</v>
      </c>
      <c r="P160" s="144">
        <f t="shared" si="18"/>
        <v>3.7872422028352036E-4</v>
      </c>
      <c r="Q160" s="144">
        <f t="shared" si="19"/>
        <v>3.4181484930124731E-3</v>
      </c>
      <c r="R160" s="146">
        <f t="shared" si="16"/>
        <v>1.5595097268127734E-2</v>
      </c>
      <c r="S160" s="145">
        <f t="shared" si="17"/>
        <v>2.4411840231872269E-2</v>
      </c>
      <c r="T160" s="95"/>
    </row>
    <row r="161" spans="1:20" ht="13">
      <c r="A161" s="32"/>
      <c r="B161" s="30"/>
      <c r="C161" s="33"/>
      <c r="D161" s="33"/>
      <c r="E161" s="33"/>
      <c r="F161" s="33"/>
      <c r="G161" s="33"/>
      <c r="H161" s="259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5"/>
    </row>
    <row r="162" spans="1:20" ht="15.5">
      <c r="A162" s="32"/>
      <c r="B162" s="30"/>
      <c r="C162" s="33"/>
      <c r="D162" s="33"/>
      <c r="E162" s="33"/>
      <c r="F162" s="33"/>
      <c r="G162" s="33" t="s">
        <v>408</v>
      </c>
      <c r="H162" s="259"/>
      <c r="I162" s="354">
        <f t="array" ref="I162">MMULT(TRANSPOSE(G151:G160),MMULT(I151:R160,G151:G160))</f>
        <v>0</v>
      </c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5"/>
    </row>
    <row r="163" spans="1:20" ht="15.5">
      <c r="A163" s="32"/>
      <c r="B163" s="30"/>
      <c r="C163" s="33"/>
      <c r="D163" s="33"/>
      <c r="E163" s="33"/>
      <c r="F163" s="33"/>
      <c r="G163" s="33" t="s">
        <v>409</v>
      </c>
      <c r="H163" s="259"/>
      <c r="I163" s="354">
        <f t="array" ref="I163">SUMPRODUCT(S151:S160,H151:H160)</f>
        <v>0</v>
      </c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5"/>
    </row>
    <row r="164" spans="1:20" ht="13">
      <c r="A164" s="32"/>
      <c r="B164" s="30"/>
      <c r="C164" s="33"/>
      <c r="D164" s="33"/>
      <c r="E164" s="33"/>
      <c r="F164" s="33"/>
      <c r="G164" s="33"/>
      <c r="H164" s="259"/>
      <c r="I164" s="147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5"/>
    </row>
    <row r="165" spans="1:20" ht="13">
      <c r="A165" s="32"/>
      <c r="B165" s="30" t="s">
        <v>410</v>
      </c>
      <c r="C165" s="33" t="s">
        <v>411</v>
      </c>
      <c r="D165" s="33"/>
      <c r="E165" s="33"/>
      <c r="F165" s="33"/>
      <c r="G165" s="337" t="s">
        <v>412</v>
      </c>
      <c r="H165" s="259"/>
      <c r="I165" s="354">
        <f t="array" ref="I165">MMULT(TRANSPOSE(G151:G160),MMULT(I151:R160,G151:G160))+SUMPRODUCT(S151:S160,H151:H160)</f>
        <v>0</v>
      </c>
      <c r="J165" s="42"/>
      <c r="K165" s="91"/>
      <c r="L165" s="91"/>
      <c r="M165" s="91"/>
      <c r="N165" s="91"/>
      <c r="O165" s="91"/>
      <c r="P165" s="91"/>
      <c r="Q165" s="91"/>
      <c r="R165" s="91"/>
      <c r="S165" s="91"/>
      <c r="T165" s="95"/>
    </row>
    <row r="166" spans="1:20" ht="13">
      <c r="A166" s="32"/>
      <c r="B166" s="33"/>
      <c r="C166" s="33"/>
      <c r="D166" s="33"/>
      <c r="E166" s="33"/>
      <c r="F166" s="33"/>
      <c r="G166" s="33" t="s">
        <v>413</v>
      </c>
      <c r="H166" s="33"/>
      <c r="I166" s="355">
        <f>3*I165^(1/2)</f>
        <v>0</v>
      </c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5"/>
    </row>
    <row r="167" spans="1:20">
      <c r="A167" s="32"/>
      <c r="B167" s="33"/>
      <c r="C167" s="33"/>
      <c r="D167" s="33"/>
      <c r="E167" s="33"/>
      <c r="F167" s="33"/>
      <c r="G167" s="33" t="s">
        <v>414</v>
      </c>
      <c r="H167" s="33"/>
      <c r="I167" s="355">
        <f>5*I165^(1/2)</f>
        <v>0</v>
      </c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5"/>
    </row>
    <row r="168" spans="1:20" ht="13">
      <c r="A168" s="32"/>
      <c r="B168" s="30"/>
      <c r="C168" s="356" t="s">
        <v>415</v>
      </c>
      <c r="D168" s="33"/>
      <c r="E168" s="33"/>
      <c r="F168" s="33"/>
      <c r="G168" s="33" t="s">
        <v>416</v>
      </c>
      <c r="H168" s="259"/>
      <c r="I168" s="355">
        <f>SUM(G151:G160)</f>
        <v>0</v>
      </c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5"/>
    </row>
    <row r="169" spans="1:20" ht="15.5">
      <c r="A169" s="32"/>
      <c r="B169" s="30" t="s">
        <v>417</v>
      </c>
      <c r="C169" s="30" t="s">
        <v>418</v>
      </c>
      <c r="D169" s="33"/>
      <c r="E169" s="33"/>
      <c r="F169" s="33"/>
      <c r="G169" s="33" t="s">
        <v>419</v>
      </c>
      <c r="H169" s="259"/>
      <c r="I169" s="148">
        <f>IF(SQRT(I165)&lt;=7%*I168,I166,IF(SQRT(I165)&lt;20%*I168,I167,I168))</f>
        <v>0</v>
      </c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5"/>
    </row>
    <row r="170" spans="1:20" ht="13">
      <c r="A170" s="32"/>
      <c r="B170" s="59"/>
      <c r="C170" s="33"/>
      <c r="D170" s="33"/>
      <c r="E170" s="33"/>
      <c r="F170" s="33"/>
      <c r="G170" s="33"/>
      <c r="H170" s="259"/>
      <c r="I170" s="149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5"/>
    </row>
    <row r="171" spans="1:20" ht="13">
      <c r="A171" s="32"/>
      <c r="B171" s="30"/>
      <c r="C171" s="33"/>
      <c r="D171" s="33"/>
      <c r="E171" s="33"/>
      <c r="F171" s="33"/>
      <c r="G171" s="33"/>
      <c r="H171" s="259"/>
      <c r="I171" s="149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5"/>
    </row>
    <row r="172" spans="1:20" ht="13">
      <c r="A172" s="150"/>
      <c r="B172" s="131" t="s">
        <v>420</v>
      </c>
      <c r="C172" s="151"/>
      <c r="D172" s="152"/>
      <c r="E172" s="152"/>
      <c r="F172" s="152"/>
      <c r="G172" s="152"/>
      <c r="H172" s="153"/>
      <c r="I172" s="154"/>
      <c r="J172" s="155"/>
      <c r="K172" s="155"/>
      <c r="L172" s="155"/>
      <c r="M172" s="155"/>
      <c r="N172" s="155"/>
      <c r="O172" s="155"/>
      <c r="P172" s="155"/>
      <c r="Q172" s="155"/>
      <c r="R172" s="91"/>
      <c r="S172" s="91"/>
      <c r="T172" s="95"/>
    </row>
    <row r="173" spans="1:20" ht="13">
      <c r="A173" s="150"/>
      <c r="B173" s="113"/>
      <c r="C173" s="152"/>
      <c r="D173" s="152"/>
      <c r="E173" s="152"/>
      <c r="F173" s="152"/>
      <c r="G173" s="152"/>
      <c r="H173" s="156"/>
      <c r="I173" s="154"/>
      <c r="J173" s="155"/>
      <c r="K173" s="155"/>
      <c r="L173" s="155"/>
      <c r="M173" s="155"/>
      <c r="N173" s="155"/>
      <c r="O173" s="155"/>
      <c r="P173" s="155"/>
      <c r="Q173" s="155"/>
      <c r="R173" s="91"/>
      <c r="S173" s="91"/>
      <c r="T173" s="95"/>
    </row>
    <row r="174" spans="1:20" ht="13">
      <c r="A174" s="32"/>
      <c r="B174" s="30" t="s">
        <v>421</v>
      </c>
      <c r="C174" s="429" t="s">
        <v>422</v>
      </c>
      <c r="D174" s="429"/>
      <c r="E174" s="429"/>
      <c r="F174" s="33"/>
      <c r="G174" s="76" t="s">
        <v>423</v>
      </c>
      <c r="H174" s="341"/>
      <c r="I174" s="149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5"/>
    </row>
    <row r="175" spans="1:20" ht="13">
      <c r="A175" s="32"/>
      <c r="B175" s="33"/>
      <c r="C175" s="258"/>
      <c r="D175" s="258"/>
      <c r="E175" s="258"/>
      <c r="F175" s="33"/>
      <c r="G175" s="76"/>
      <c r="H175" s="76"/>
      <c r="I175" s="149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5"/>
    </row>
    <row r="176" spans="1:20" ht="15">
      <c r="A176" s="32"/>
      <c r="B176" s="30" t="s">
        <v>424</v>
      </c>
      <c r="C176" s="33" t="s">
        <v>425</v>
      </c>
      <c r="D176" s="33"/>
      <c r="E176" s="33"/>
      <c r="F176" s="33"/>
      <c r="G176" s="76" t="s">
        <v>426</v>
      </c>
      <c r="H176" s="341"/>
      <c r="I176" s="149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5"/>
    </row>
    <row r="177" spans="1:20" ht="13">
      <c r="A177" s="32"/>
      <c r="B177" s="30"/>
      <c r="C177" s="33"/>
      <c r="D177" s="33"/>
      <c r="E177" s="33"/>
      <c r="F177" s="33"/>
      <c r="G177" s="76"/>
      <c r="H177" s="149"/>
      <c r="I177" s="149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5"/>
    </row>
    <row r="178" spans="1:20" ht="15">
      <c r="A178" s="32"/>
      <c r="B178" s="61" t="s">
        <v>427</v>
      </c>
      <c r="C178" s="33" t="s">
        <v>428</v>
      </c>
      <c r="D178" s="33"/>
      <c r="E178" s="33"/>
      <c r="F178" s="33"/>
      <c r="G178" s="76" t="s">
        <v>429</v>
      </c>
      <c r="H178" s="341"/>
      <c r="I178" s="149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5"/>
    </row>
    <row r="179" spans="1:20" ht="13">
      <c r="A179" s="32"/>
      <c r="B179" s="255"/>
      <c r="C179" s="33"/>
      <c r="D179" s="33"/>
      <c r="E179" s="33"/>
      <c r="F179" s="33"/>
      <c r="G179" s="76"/>
      <c r="H179" s="259"/>
      <c r="I179" s="149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5"/>
    </row>
    <row r="180" spans="1:20" ht="15">
      <c r="A180" s="32"/>
      <c r="B180" s="61" t="s">
        <v>430</v>
      </c>
      <c r="C180" s="30" t="s">
        <v>431</v>
      </c>
      <c r="D180" s="33"/>
      <c r="E180" s="33"/>
      <c r="F180" s="33"/>
      <c r="G180" s="76" t="s">
        <v>432</v>
      </c>
      <c r="H180" s="259"/>
      <c r="I180" s="157">
        <f>15%*(H174+H178)+90%*H176</f>
        <v>0</v>
      </c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5"/>
    </row>
    <row r="181" spans="1:20" ht="13">
      <c r="A181" s="32"/>
      <c r="B181" s="30"/>
      <c r="C181" s="33"/>
      <c r="D181" s="33"/>
      <c r="E181" s="33"/>
      <c r="F181" s="33"/>
      <c r="G181" s="76"/>
      <c r="H181" s="259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5"/>
    </row>
    <row r="182" spans="1:20" ht="13">
      <c r="A182" s="32"/>
      <c r="B182" s="30"/>
      <c r="C182" s="33"/>
      <c r="D182" s="33"/>
      <c r="E182" s="33"/>
      <c r="F182" s="33"/>
      <c r="G182" s="76"/>
      <c r="H182" s="259"/>
      <c r="I182" s="33"/>
      <c r="J182" s="33"/>
      <c r="K182" s="33"/>
      <c r="L182" s="33"/>
      <c r="M182" s="33"/>
      <c r="N182" s="33"/>
      <c r="O182" s="33"/>
      <c r="P182" s="33"/>
      <c r="Q182" s="33"/>
      <c r="R182" s="91"/>
      <c r="S182" s="91"/>
      <c r="T182" s="95"/>
    </row>
    <row r="183" spans="1:20" ht="15">
      <c r="A183" s="32"/>
      <c r="B183" s="30" t="s">
        <v>433</v>
      </c>
      <c r="C183" s="30" t="s">
        <v>16</v>
      </c>
      <c r="D183" s="33"/>
      <c r="E183" s="33"/>
      <c r="F183" s="33"/>
      <c r="G183" s="125" t="s">
        <v>434</v>
      </c>
      <c r="H183" s="259"/>
      <c r="I183" s="158">
        <f>SQRT(I169^2+1.5*I169*I180+I180^2)</f>
        <v>0</v>
      </c>
      <c r="J183" s="32"/>
      <c r="K183" s="33"/>
      <c r="L183" s="33"/>
      <c r="M183" s="33"/>
      <c r="N183" s="33"/>
      <c r="O183" s="33"/>
      <c r="P183" s="33"/>
      <c r="Q183" s="33"/>
      <c r="R183" s="91"/>
      <c r="S183" s="91"/>
      <c r="T183" s="95"/>
    </row>
    <row r="184" spans="1:20">
      <c r="A184" s="43"/>
      <c r="B184" s="184"/>
      <c r="C184" s="184"/>
      <c r="D184" s="184"/>
      <c r="E184" s="184"/>
      <c r="F184" s="184"/>
      <c r="G184" s="184"/>
      <c r="H184" s="260"/>
      <c r="I184" s="184"/>
      <c r="J184" s="184"/>
      <c r="K184" s="184"/>
      <c r="L184" s="184"/>
      <c r="M184" s="184"/>
      <c r="N184" s="184"/>
      <c r="O184" s="184"/>
      <c r="P184" s="184"/>
      <c r="Q184" s="184"/>
      <c r="R184" s="130"/>
      <c r="S184" s="130"/>
      <c r="T184" s="159"/>
    </row>
  </sheetData>
  <sheetProtection sheet="1" formatCells="0" formatColumns="0" formatRows="0" insertColumns="0" insertHyperlinks="0" deleteColumns="0" sort="0" autoFilter="0" pivotTables="0"/>
  <sortState xmlns:xlrd2="http://schemas.microsoft.com/office/spreadsheetml/2017/richdata2" ref="T61:T77">
    <sortCondition sortBy="icon" ref="T61"/>
  </sortState>
  <dataConsolidate/>
  <mergeCells count="9">
    <mergeCell ref="G149:G150"/>
    <mergeCell ref="H149:H150"/>
    <mergeCell ref="I149:R149"/>
    <mergeCell ref="C158:C160"/>
    <mergeCell ref="C174:E174"/>
    <mergeCell ref="C149:C157"/>
    <mergeCell ref="D149:D150"/>
    <mergeCell ref="E149:E150"/>
    <mergeCell ref="F149:F150"/>
  </mergeCells>
  <dataValidations count="11">
    <dataValidation type="list" allowBlank="1" showErrorMessage="1" error="Velg fra ratinglisten!" sqref="D12" xr:uid="{00000000-0002-0000-0400-000000000000}">
      <formula1>$D$151:$D$160</formula1>
    </dataValidation>
    <dataValidation type="list" allowBlank="1" showInputMessage="1" showErrorMessage="1" error="Velg fra ratinglisten!" sqref="D118:D144 D13:D56 D61:D112 D114" xr:uid="{00000000-0002-0000-0400-000001000000}">
      <formula1>$D$151:$D$160</formula1>
    </dataValidation>
    <dataValidation type="list" allowBlank="1" showInputMessage="1" showErrorMessage="1" sqref="H74:H111" xr:uid="{00000000-0002-0000-0400-000002000000}">
      <formula1>$H$57:$H$58</formula1>
    </dataValidation>
    <dataValidation type="custom" allowBlank="1" showInputMessage="1" showErrorMessage="1" errorTitle="Ugyldige data!" error="RE må være større enn eller lik 0." sqref="H12:H53" xr:uid="{00000000-0002-0000-0400-000003000000}">
      <formula1>H12&gt;=0</formula1>
    </dataValidation>
    <dataValidation type="custom" allowBlank="1" showInputMessage="1" showErrorMessage="1" errorTitle="Ugyldige data!" error="Verdi må være større enn eller lik 0. " sqref="E118:E144" xr:uid="{00000000-0002-0000-0400-000004000000}">
      <formula1>E118&gt;=0</formula1>
    </dataValidation>
    <dataValidation type="list" allowBlank="1" showInputMessage="1" showErrorMessage="1" errorTitle="Ugyldige data!" error="Input må være &quot;Ja&quot; eller &quot;Nei&quot;. " sqref="G12:G53" xr:uid="{00000000-0002-0000-0400-000005000000}">
      <formula1>$H$57:$H$58</formula1>
    </dataValidation>
    <dataValidation type="custom" allowBlank="1" showInputMessage="1" showErrorMessage="1" errorTitle="Ugyldige data!" error="Markedsverdi av derivat må være større enn eller lik 0. _x000a_Kontrakter med negativ markedsverdi rapporteres med 0 i verdi." sqref="E61:E111" xr:uid="{00000000-0002-0000-0400-000006000000}">
      <formula1>E61&gt;=0</formula1>
    </dataValidation>
    <dataValidation type="custom" allowBlank="1" showInputMessage="1" showErrorMessage="1" errorTitle="Ugyldige data!" error="Markedsverdi av sikkerhet må være større enn eller lik 0._x000a_" sqref="F61:G111" xr:uid="{00000000-0002-0000-0400-000007000000}">
      <formula1>F61&gt;=0</formula1>
    </dataValidation>
    <dataValidation type="custom" allowBlank="1" showInputMessage="1" showErrorMessage="1" errorTitle="Ugyldige data!" error="Markedsverdi av sikkerhet må være større enn eller lik 0. _x000a_" sqref="F12:F53" xr:uid="{00000000-0002-0000-0400-000008000000}">
      <formula1>F12&gt;=0</formula1>
    </dataValidation>
    <dataValidation type="custom" allowBlank="1" showInputMessage="1" showErrorMessage="1" errorTitle="Ugyldige data!" error="Verdi må være større enn eller lik 0. _x000a_" sqref="E12:E53" xr:uid="{00000000-0002-0000-0400-000009000000}">
      <formula1>E12&gt;=0</formula1>
    </dataValidation>
    <dataValidation type="custom" allowBlank="1" showInputMessage="1" showErrorMessage="1" errorTitle="Ugyldige data!" error="RE må være større enn eller lik 0. _x000a_" sqref="I74:I111 H61:H73" xr:uid="{00000000-0002-0000-0400-00000A000000}">
      <formula1>H61&gt;=0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2" orientation="landscape" r:id="rId1"/>
  <rowBreaks count="1" manualBreakCount="1">
    <brk id="114" max="19" man="1"/>
  </rowBreaks>
  <ignoredErrors>
    <ignoredError sqref="I13:I22 E54:E55 K62:K74 J118:K130 E145 G151:O160 I162:I165 I183 K61 I12 K12 K13:K2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8"/>
  <sheetViews>
    <sheetView zoomScaleNormal="100" workbookViewId="0"/>
  </sheetViews>
  <sheetFormatPr baseColWidth="10" defaultColWidth="9.08984375" defaultRowHeight="12.5"/>
  <cols>
    <col min="1" max="1" width="5.6328125" style="2" customWidth="1"/>
    <col min="2" max="2" width="9.08984375" style="2" customWidth="1"/>
    <col min="3" max="3" width="19.54296875" style="2" customWidth="1"/>
    <col min="4" max="7" width="14.08984375" style="2" customWidth="1"/>
    <col min="8" max="8" width="10.6328125" style="2" customWidth="1"/>
    <col min="9" max="9" width="18.6328125" style="2" customWidth="1"/>
    <col min="10" max="10" width="9.08984375" style="2" customWidth="1"/>
    <col min="11" max="11" width="26.453125" style="2" customWidth="1"/>
    <col min="12" max="16384" width="9.08984375" style="2"/>
  </cols>
  <sheetData>
    <row r="1" spans="1:16" ht="13">
      <c r="A1" s="39"/>
      <c r="B1" s="241"/>
      <c r="C1" s="112"/>
      <c r="D1" s="279"/>
      <c r="E1" s="279"/>
      <c r="F1" s="279"/>
      <c r="G1" s="335"/>
      <c r="H1" s="335"/>
      <c r="I1" s="279"/>
      <c r="J1" s="280"/>
      <c r="K1" s="38"/>
      <c r="L1" s="8"/>
      <c r="M1" s="8"/>
      <c r="N1" s="8"/>
      <c r="O1" s="8"/>
      <c r="P1" s="8"/>
    </row>
    <row r="2" spans="1:16" ht="15.5">
      <c r="A2" s="32"/>
      <c r="B2" s="23" t="s">
        <v>435</v>
      </c>
      <c r="C2" s="184"/>
      <c r="D2" s="184"/>
      <c r="E2" s="184"/>
      <c r="F2" s="184"/>
      <c r="G2" s="260"/>
      <c r="H2" s="260"/>
      <c r="I2" s="184"/>
      <c r="J2" s="37"/>
      <c r="K2" s="38"/>
      <c r="L2" s="38"/>
      <c r="M2" s="38"/>
      <c r="N2" s="38"/>
      <c r="O2" s="38"/>
      <c r="P2" s="38"/>
    </row>
    <row r="3" spans="1:16" ht="15.75" customHeight="1">
      <c r="A3" s="32"/>
      <c r="B3" s="27"/>
      <c r="C3" s="33"/>
      <c r="D3" s="33"/>
      <c r="E3" s="33"/>
      <c r="F3" s="33"/>
      <c r="G3" s="357"/>
      <c r="H3" s="259"/>
      <c r="I3" s="33"/>
      <c r="J3" s="37"/>
      <c r="K3" s="38"/>
      <c r="L3" s="38"/>
      <c r="M3" s="38"/>
      <c r="N3" s="38"/>
      <c r="O3" s="38"/>
      <c r="P3" s="38"/>
    </row>
    <row r="4" spans="1:16" ht="15.75" customHeight="1">
      <c r="A4" s="32"/>
      <c r="B4" s="30" t="s">
        <v>436</v>
      </c>
      <c r="C4" s="33" t="s">
        <v>437</v>
      </c>
      <c r="D4" s="33"/>
      <c r="E4" s="33"/>
      <c r="F4" s="33"/>
      <c r="G4" s="357"/>
      <c r="H4" s="259" t="s">
        <v>438</v>
      </c>
      <c r="I4" s="274">
        <f>'Beste estimat og risikomargin'!L21</f>
        <v>0</v>
      </c>
      <c r="J4" s="37"/>
      <c r="K4" s="38"/>
      <c r="L4" s="38"/>
      <c r="M4" s="38"/>
      <c r="N4" s="38"/>
      <c r="O4" s="38"/>
      <c r="P4" s="38"/>
    </row>
    <row r="5" spans="1:16" ht="15.75" customHeight="1">
      <c r="A5" s="32"/>
      <c r="B5" s="30"/>
      <c r="C5" s="33"/>
      <c r="D5" s="33"/>
      <c r="E5" s="33"/>
      <c r="F5" s="33"/>
      <c r="G5" s="357"/>
      <c r="H5" s="259"/>
      <c r="I5" s="259"/>
      <c r="J5" s="37"/>
      <c r="K5" s="38"/>
      <c r="L5" s="38"/>
      <c r="M5" s="38"/>
      <c r="N5" s="38"/>
      <c r="O5" s="38"/>
      <c r="P5" s="38"/>
    </row>
    <row r="6" spans="1:16" ht="15.75" customHeight="1">
      <c r="A6" s="32"/>
      <c r="B6" s="30" t="s">
        <v>439</v>
      </c>
      <c r="C6" s="30" t="s">
        <v>32</v>
      </c>
      <c r="D6" s="33"/>
      <c r="E6" s="33"/>
      <c r="F6" s="33"/>
      <c r="G6" s="160"/>
      <c r="H6" s="65" t="s">
        <v>440</v>
      </c>
      <c r="I6" s="50">
        <f>MINA(0.3*SOLVENSKAPITALDEKNING!I30,0.0045*I4)</f>
        <v>0</v>
      </c>
      <c r="J6" s="37"/>
      <c r="K6" s="38"/>
      <c r="L6" s="38"/>
      <c r="M6" s="38"/>
      <c r="N6" s="38"/>
      <c r="O6" s="38"/>
      <c r="P6" s="38"/>
    </row>
    <row r="7" spans="1:16" ht="15.75" customHeight="1">
      <c r="A7" s="32"/>
      <c r="B7" s="30"/>
      <c r="C7" s="33"/>
      <c r="D7" s="33"/>
      <c r="E7" s="33"/>
      <c r="F7" s="33"/>
      <c r="G7" s="259"/>
      <c r="H7" s="259"/>
      <c r="I7" s="33"/>
      <c r="J7" s="37"/>
      <c r="K7" s="38"/>
      <c r="L7" s="38"/>
      <c r="M7" s="38"/>
      <c r="N7" s="38"/>
      <c r="O7" s="38"/>
      <c r="P7" s="38"/>
    </row>
    <row r="8" spans="1:16" ht="15.75" customHeight="1">
      <c r="A8" s="43"/>
      <c r="B8" s="111"/>
      <c r="C8" s="184"/>
      <c r="D8" s="184"/>
      <c r="E8" s="184"/>
      <c r="F8" s="184"/>
      <c r="G8" s="260"/>
      <c r="H8" s="260"/>
      <c r="I8" s="184"/>
      <c r="J8" s="194"/>
      <c r="K8" s="38"/>
      <c r="L8" s="38"/>
      <c r="M8" s="38"/>
      <c r="N8" s="38"/>
      <c r="O8" s="38"/>
      <c r="P8" s="38"/>
    </row>
  </sheetData>
  <sheetProtection sheet="1" formatCells="0" formatColumns="0" formatRows="0" insertColumns="0" insertHyperlinks="0" deleteColumns="0" sort="0" autoFilter="0" pivotTables="0"/>
  <phoneticPr fontId="5" type="noConversion"/>
  <pageMargins left="0.75" right="0.75" top="1" bottom="1" header="0.5" footer="0.5"/>
  <pageSetup paperSize="9" scale="6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22"/>
  <sheetViews>
    <sheetView zoomScale="85" zoomScaleNormal="85" workbookViewId="0"/>
  </sheetViews>
  <sheetFormatPr baseColWidth="10" defaultColWidth="9.08984375" defaultRowHeight="12.5"/>
  <cols>
    <col min="1" max="1" width="5.6328125" style="2" customWidth="1"/>
    <col min="2" max="2" width="10.6328125" style="2" customWidth="1"/>
    <col min="3" max="3" width="80.08984375" style="2" customWidth="1"/>
    <col min="4" max="4" width="20" style="4" customWidth="1"/>
    <col min="5" max="10" width="18.6328125" style="2" customWidth="1"/>
    <col min="11" max="11" width="5.36328125" style="2" customWidth="1"/>
    <col min="12" max="12" width="22.6328125" style="2" customWidth="1"/>
    <col min="13" max="16384" width="9.08984375" style="2"/>
  </cols>
  <sheetData>
    <row r="1" spans="1:12" ht="24.75" customHeight="1">
      <c r="A1" s="39"/>
      <c r="B1" s="279"/>
      <c r="C1" s="221" t="s">
        <v>441</v>
      </c>
      <c r="D1" s="358"/>
      <c r="E1" s="358"/>
      <c r="F1" s="210"/>
      <c r="G1" s="210"/>
      <c r="H1" s="335"/>
      <c r="I1" s="335"/>
      <c r="J1" s="214"/>
      <c r="K1" s="359"/>
      <c r="L1" s="222"/>
    </row>
    <row r="2" spans="1:12" ht="24.75" customHeight="1">
      <c r="A2" s="32"/>
      <c r="B2" s="33"/>
      <c r="C2" s="255"/>
      <c r="D2" s="255"/>
      <c r="E2" s="255"/>
      <c r="F2" s="255"/>
      <c r="G2" s="255"/>
      <c r="H2" s="255"/>
      <c r="I2" s="255"/>
      <c r="J2" s="255"/>
      <c r="K2" s="307"/>
      <c r="L2" s="223"/>
    </row>
    <row r="3" spans="1:12" ht="36.75" customHeight="1">
      <c r="A3" s="32"/>
      <c r="B3" s="23" t="s">
        <v>442</v>
      </c>
      <c r="C3" s="213"/>
      <c r="D3" s="260"/>
      <c r="E3" s="246" t="s">
        <v>56</v>
      </c>
      <c r="F3" s="246" t="s">
        <v>57</v>
      </c>
      <c r="G3" s="246" t="s">
        <v>58</v>
      </c>
      <c r="H3" s="246" t="s">
        <v>59</v>
      </c>
      <c r="I3" s="246" t="s">
        <v>60</v>
      </c>
      <c r="J3" s="246" t="s">
        <v>443</v>
      </c>
      <c r="K3" s="307"/>
      <c r="L3" s="223"/>
    </row>
    <row r="4" spans="1:12" ht="12.75" customHeight="1">
      <c r="A4" s="32"/>
      <c r="B4" s="33"/>
      <c r="C4" s="360"/>
      <c r="D4" s="259"/>
      <c r="E4" s="335"/>
      <c r="F4" s="335"/>
      <c r="G4" s="335"/>
      <c r="H4" s="335"/>
      <c r="I4" s="335"/>
      <c r="J4" s="33"/>
      <c r="K4" s="307"/>
      <c r="L4" s="37"/>
    </row>
    <row r="5" spans="1:12" s="62" customFormat="1" ht="24.9" customHeight="1">
      <c r="A5" s="252"/>
      <c r="B5" s="61" t="s">
        <v>444</v>
      </c>
      <c r="C5" s="250" t="s">
        <v>664</v>
      </c>
      <c r="D5" s="254" t="s">
        <v>69</v>
      </c>
      <c r="E5" s="361">
        <f>Markedsrisiko!H7</f>
        <v>0</v>
      </c>
      <c r="F5" s="361">
        <f>Markedsrisiko!I7</f>
        <v>0</v>
      </c>
      <c r="G5" s="361">
        <f>Markedsrisiko!J7</f>
        <v>0</v>
      </c>
      <c r="H5" s="361">
        <f>Markedsrisiko!K7</f>
        <v>0</v>
      </c>
      <c r="I5" s="361">
        <f>Markedsrisiko!L7</f>
        <v>0</v>
      </c>
      <c r="J5" s="362">
        <f>SUM(E5:I5)</f>
        <v>0</v>
      </c>
      <c r="K5" s="307"/>
      <c r="L5" s="224"/>
    </row>
    <row r="6" spans="1:12" s="62" customFormat="1" ht="24.9" customHeight="1">
      <c r="A6" s="225"/>
      <c r="B6" s="61" t="s">
        <v>445</v>
      </c>
      <c r="C6" s="250" t="s">
        <v>446</v>
      </c>
      <c r="D6" s="254" t="s">
        <v>447</v>
      </c>
      <c r="E6" s="312">
        <v>0</v>
      </c>
      <c r="F6" s="312">
        <v>0</v>
      </c>
      <c r="G6" s="312">
        <v>0</v>
      </c>
      <c r="H6" s="209"/>
      <c r="I6" s="211"/>
      <c r="J6" s="362">
        <f t="shared" ref="J6:J22" si="0">SUM(E6:I6)</f>
        <v>0</v>
      </c>
      <c r="K6" s="307"/>
      <c r="L6" s="224"/>
    </row>
    <row r="7" spans="1:12" s="62" customFormat="1" ht="24.9" customHeight="1">
      <c r="A7" s="225"/>
      <c r="B7" s="61" t="s">
        <v>448</v>
      </c>
      <c r="C7" s="250" t="s">
        <v>449</v>
      </c>
      <c r="D7" s="254" t="s">
        <v>450</v>
      </c>
      <c r="E7" s="363">
        <v>0</v>
      </c>
      <c r="F7" s="363">
        <v>0</v>
      </c>
      <c r="G7" s="363">
        <v>0</v>
      </c>
      <c r="H7" s="209"/>
      <c r="I7" s="211"/>
      <c r="J7" s="362">
        <f t="shared" si="0"/>
        <v>0</v>
      </c>
      <c r="K7" s="307"/>
      <c r="L7" s="224"/>
    </row>
    <row r="8" spans="1:12" s="62" customFormat="1" ht="24.9" customHeight="1">
      <c r="A8" s="225"/>
      <c r="B8" s="61" t="s">
        <v>451</v>
      </c>
      <c r="C8" s="250" t="s">
        <v>452</v>
      </c>
      <c r="D8" s="254" t="s">
        <v>453</v>
      </c>
      <c r="E8" s="361">
        <f>E5+E6+E7</f>
        <v>0</v>
      </c>
      <c r="F8" s="361">
        <f>F5+F6+F7</f>
        <v>0</v>
      </c>
      <c r="G8" s="361">
        <f>G5+G6+G7</f>
        <v>0</v>
      </c>
      <c r="H8" s="361">
        <f>H5</f>
        <v>0</v>
      </c>
      <c r="I8" s="361">
        <f>I5</f>
        <v>0</v>
      </c>
      <c r="J8" s="362">
        <f t="shared" si="0"/>
        <v>0</v>
      </c>
      <c r="K8" s="307"/>
      <c r="L8" s="224"/>
    </row>
    <row r="9" spans="1:12" s="62" customFormat="1" ht="24.9" customHeight="1">
      <c r="A9" s="225"/>
      <c r="B9" s="61" t="s">
        <v>454</v>
      </c>
      <c r="C9" s="250" t="s">
        <v>455</v>
      </c>
      <c r="D9" s="364" t="s">
        <v>456</v>
      </c>
      <c r="E9" s="365">
        <v>0</v>
      </c>
      <c r="F9" s="365">
        <v>0</v>
      </c>
      <c r="G9" s="365">
        <v>0</v>
      </c>
      <c r="H9" s="211"/>
      <c r="I9" s="211"/>
      <c r="J9" s="362">
        <f t="shared" si="0"/>
        <v>0</v>
      </c>
      <c r="K9" s="307"/>
      <c r="L9" s="224"/>
    </row>
    <row r="10" spans="1:12" s="62" customFormat="1" ht="24.9" customHeight="1">
      <c r="A10" s="225"/>
      <c r="B10" s="61" t="s">
        <v>457</v>
      </c>
      <c r="C10" s="250" t="s">
        <v>458</v>
      </c>
      <c r="D10" s="254" t="s">
        <v>459</v>
      </c>
      <c r="E10" s="361">
        <f>E9+IF('Vedlegg2 - Alternativ beregning'!$C$70=0,Markedsrisiko!H20,'Vedlegg2 - Alternativ beregning'!D334)</f>
        <v>0</v>
      </c>
      <c r="F10" s="361">
        <f>F9+IF('Vedlegg2 - Alternativ beregning'!$C$70=0,Markedsrisiko!I20,'Vedlegg2 - Alternativ beregning'!E334)</f>
        <v>0</v>
      </c>
      <c r="G10" s="361">
        <f>G9</f>
        <v>0</v>
      </c>
      <c r="H10" s="209"/>
      <c r="I10" s="212"/>
      <c r="J10" s="362">
        <f t="shared" si="0"/>
        <v>0</v>
      </c>
      <c r="K10" s="307"/>
      <c r="L10" s="224"/>
    </row>
    <row r="11" spans="1:12" s="62" customFormat="1" ht="24.9" customHeight="1">
      <c r="A11" s="225"/>
      <c r="B11" s="61" t="s">
        <v>460</v>
      </c>
      <c r="C11" s="250" t="s">
        <v>461</v>
      </c>
      <c r="D11" s="254" t="s">
        <v>462</v>
      </c>
      <c r="E11" s="312">
        <v>0</v>
      </c>
      <c r="F11" s="312">
        <v>0</v>
      </c>
      <c r="G11" s="312">
        <v>0</v>
      </c>
      <c r="H11" s="209"/>
      <c r="I11" s="312">
        <v>0</v>
      </c>
      <c r="J11" s="362">
        <f t="shared" si="0"/>
        <v>0</v>
      </c>
      <c r="K11" s="307"/>
      <c r="L11" s="224"/>
    </row>
    <row r="12" spans="1:12" s="62" customFormat="1" ht="24.9" customHeight="1">
      <c r="A12" s="225"/>
      <c r="B12" s="61" t="s">
        <v>463</v>
      </c>
      <c r="C12" s="250" t="s">
        <v>464</v>
      </c>
      <c r="D12" s="364" t="s">
        <v>465</v>
      </c>
      <c r="E12" s="312">
        <v>0</v>
      </c>
      <c r="F12" s="312">
        <v>0</v>
      </c>
      <c r="G12" s="312">
        <v>0</v>
      </c>
      <c r="H12" s="312">
        <v>0</v>
      </c>
      <c r="I12" s="211"/>
      <c r="J12" s="362">
        <f t="shared" si="0"/>
        <v>0</v>
      </c>
      <c r="K12" s="307"/>
      <c r="L12" s="224"/>
    </row>
    <row r="13" spans="1:12" s="62" customFormat="1" ht="24.9" customHeight="1">
      <c r="A13" s="225"/>
      <c r="B13" s="61" t="s">
        <v>466</v>
      </c>
      <c r="C13" s="250" t="s">
        <v>467</v>
      </c>
      <c r="D13" s="364" t="s">
        <v>468</v>
      </c>
      <c r="E13" s="312">
        <v>0</v>
      </c>
      <c r="F13" s="312">
        <v>0</v>
      </c>
      <c r="G13" s="312">
        <v>0</v>
      </c>
      <c r="H13" s="215"/>
      <c r="I13" s="312">
        <v>0</v>
      </c>
      <c r="J13" s="362">
        <f t="shared" si="0"/>
        <v>0</v>
      </c>
      <c r="K13" s="307"/>
      <c r="L13" s="224"/>
    </row>
    <row r="14" spans="1:12" s="62" customFormat="1" ht="24.9" customHeight="1">
      <c r="A14" s="225"/>
      <c r="B14" s="61" t="s">
        <v>469</v>
      </c>
      <c r="C14" s="250" t="s">
        <v>470</v>
      </c>
      <c r="D14" s="364" t="s">
        <v>471</v>
      </c>
      <c r="E14" s="250"/>
      <c r="F14" s="250"/>
      <c r="G14" s="250"/>
      <c r="H14" s="250"/>
      <c r="I14" s="250"/>
      <c r="J14" s="312">
        <v>0</v>
      </c>
      <c r="K14" s="307"/>
      <c r="L14" s="224"/>
    </row>
    <row r="15" spans="1:12" s="62" customFormat="1" ht="24.9" customHeight="1" thickBot="1">
      <c r="A15" s="225"/>
      <c r="B15" s="61" t="s">
        <v>472</v>
      </c>
      <c r="C15" s="250" t="s">
        <v>473</v>
      </c>
      <c r="D15" s="364" t="s">
        <v>474</v>
      </c>
      <c r="E15" s="361">
        <f>IF(J14&lt;0,(E5/J5)*J14,0)</f>
        <v>0</v>
      </c>
      <c r="F15" s="361">
        <f>IF(J14&lt;0,(F5/J5)*J14,0)</f>
        <v>0</v>
      </c>
      <c r="G15" s="255"/>
      <c r="H15" s="255"/>
      <c r="I15" s="250"/>
      <c r="J15" s="362">
        <f t="shared" si="0"/>
        <v>0</v>
      </c>
      <c r="K15" s="307"/>
      <c r="L15" s="224"/>
    </row>
    <row r="16" spans="1:12" s="62" customFormat="1" ht="29.25" customHeight="1">
      <c r="A16" s="225"/>
      <c r="B16" s="61" t="s">
        <v>475</v>
      </c>
      <c r="C16" s="250" t="s">
        <v>476</v>
      </c>
      <c r="D16" s="364" t="s">
        <v>477</v>
      </c>
      <c r="E16" s="361">
        <f>-IF('Vedlegg2 - Alternativ beregning'!D70=0,Markedsrisiko!H7-Markedsrisiko!H22,'Vedlegg2 - Alternativ beregning'!D69-'Vedlegg2 - Alternativ beregning'!D340)</f>
        <v>0</v>
      </c>
      <c r="F16" s="361">
        <f>-IF('Vedlegg2 - Alternativ beregning'!E70=0,Markedsrisiko!I7-Markedsrisiko!I22,'Vedlegg2 - Alternativ beregning'!E69-'Vedlegg2 - Alternativ beregning'!E340)</f>
        <v>0</v>
      </c>
      <c r="G16" s="361">
        <f>-IF('Vedlegg2 - Alternativ beregning'!F70=0,Markedsrisiko!J7-Markedsrisiko!J22,'Vedlegg2 - Alternativ beregning'!F69-'Vedlegg2 - Alternativ beregning'!F340)</f>
        <v>0</v>
      </c>
      <c r="H16" s="208"/>
      <c r="I16" s="250"/>
      <c r="J16" s="362">
        <f t="shared" si="0"/>
        <v>0</v>
      </c>
      <c r="K16" s="307"/>
      <c r="L16" s="366" t="s">
        <v>478</v>
      </c>
    </row>
    <row r="17" spans="1:12" s="62" customFormat="1" ht="24.9" customHeight="1" thickBot="1">
      <c r="A17" s="225"/>
      <c r="B17" s="61" t="s">
        <v>479</v>
      </c>
      <c r="C17" s="250" t="s">
        <v>480</v>
      </c>
      <c r="D17" s="364" t="s">
        <v>481</v>
      </c>
      <c r="E17" s="312">
        <v>0</v>
      </c>
      <c r="F17" s="312">
        <v>0</v>
      </c>
      <c r="G17" s="312">
        <v>0</v>
      </c>
      <c r="H17" s="312">
        <v>0</v>
      </c>
      <c r="I17" s="209"/>
      <c r="J17" s="362">
        <f>IF(E17&gt;0,E17)+IF(F17&gt;0,F17)+IF(G17&gt;0,G17)+H17</f>
        <v>0</v>
      </c>
      <c r="K17" s="307"/>
      <c r="L17" s="367">
        <f>-(IF(E17&lt;0,E17)+IF(F17&lt;0,F17)+IF(G17&lt;0,G17))</f>
        <v>0</v>
      </c>
    </row>
    <row r="18" spans="1:12" s="62" customFormat="1" ht="24.9" customHeight="1">
      <c r="A18" s="225"/>
      <c r="B18" s="61" t="s">
        <v>482</v>
      </c>
      <c r="C18" s="368" t="s">
        <v>483</v>
      </c>
      <c r="D18" s="364" t="s">
        <v>484</v>
      </c>
      <c r="E18" s="312">
        <v>0</v>
      </c>
      <c r="F18" s="312">
        <v>0</v>
      </c>
      <c r="G18" s="312">
        <v>0</v>
      </c>
      <c r="H18" s="312">
        <v>0</v>
      </c>
      <c r="I18" s="209"/>
      <c r="J18" s="362">
        <f t="shared" si="0"/>
        <v>0</v>
      </c>
      <c r="K18" s="307"/>
      <c r="L18" s="224"/>
    </row>
    <row r="19" spans="1:12" s="62" customFormat="1" ht="24.9" customHeight="1" thickBot="1">
      <c r="A19" s="225"/>
      <c r="B19" s="61" t="s">
        <v>485</v>
      </c>
      <c r="C19" s="250" t="s">
        <v>486</v>
      </c>
      <c r="D19" s="364" t="s">
        <v>487</v>
      </c>
      <c r="E19" s="312">
        <v>0</v>
      </c>
      <c r="F19" s="312">
        <v>0</v>
      </c>
      <c r="G19" s="312">
        <v>0</v>
      </c>
      <c r="H19" s="312">
        <v>0</v>
      </c>
      <c r="I19" s="209"/>
      <c r="J19" s="362">
        <f t="shared" si="0"/>
        <v>0</v>
      </c>
      <c r="K19" s="307"/>
      <c r="L19" s="224"/>
    </row>
    <row r="20" spans="1:12" s="62" customFormat="1" ht="24.9" customHeight="1">
      <c r="A20" s="225"/>
      <c r="B20" s="61" t="s">
        <v>488</v>
      </c>
      <c r="C20" s="250" t="s">
        <v>489</v>
      </c>
      <c r="D20" s="364" t="s">
        <v>490</v>
      </c>
      <c r="E20" s="312">
        <v>0</v>
      </c>
      <c r="F20" s="312">
        <v>0</v>
      </c>
      <c r="G20" s="312">
        <v>0</v>
      </c>
      <c r="H20" s="312">
        <v>0</v>
      </c>
      <c r="I20" s="209"/>
      <c r="J20" s="362">
        <f t="shared" si="0"/>
        <v>0</v>
      </c>
      <c r="K20" s="307"/>
      <c r="L20" s="251" t="s">
        <v>666</v>
      </c>
    </row>
    <row r="21" spans="1:12" s="62" customFormat="1" ht="24.9" customHeight="1">
      <c r="A21" s="225"/>
      <c r="B21" s="61" t="s">
        <v>491</v>
      </c>
      <c r="C21" s="250" t="s">
        <v>665</v>
      </c>
      <c r="D21" s="364" t="s">
        <v>492</v>
      </c>
      <c r="E21" s="361">
        <f>E8+E10+E11+E12+E13+E15+E16+(IF(E17&gt;0,E17,0))</f>
        <v>0</v>
      </c>
      <c r="F21" s="361">
        <f>F8+F10+F11+F12+F13+F15+F16+(IF(F17&gt;0,F17,0))</f>
        <v>0</v>
      </c>
      <c r="G21" s="361">
        <f>G8+G10+G11+G12+G13+G16+(IF(G17&gt;0,G17,0))</f>
        <v>0</v>
      </c>
      <c r="H21" s="361">
        <f>H8+H12+H17</f>
        <v>0</v>
      </c>
      <c r="I21" s="361">
        <f>I8+I11+I13</f>
        <v>0</v>
      </c>
      <c r="J21" s="362">
        <f t="shared" si="0"/>
        <v>0</v>
      </c>
      <c r="K21" s="364" t="s">
        <v>492</v>
      </c>
      <c r="L21" s="369">
        <f>J21+'Ansvarlig kapital'!F33</f>
        <v>0</v>
      </c>
    </row>
    <row r="22" spans="1:12" s="62" customFormat="1" ht="24.9" customHeight="1" thickBot="1">
      <c r="A22" s="225"/>
      <c r="B22" s="61" t="s">
        <v>493</v>
      </c>
      <c r="C22" s="255" t="s">
        <v>494</v>
      </c>
      <c r="D22" s="254" t="s">
        <v>495</v>
      </c>
      <c r="E22" s="370">
        <f>MAX(0, 0.03*E21)</f>
        <v>0</v>
      </c>
      <c r="F22" s="370">
        <f>MAX(0, 0.03*F21)</f>
        <v>0</v>
      </c>
      <c r="G22" s="370">
        <f>MAX(0, 0.03*G21)</f>
        <v>0</v>
      </c>
      <c r="H22" s="370">
        <f>MAX(0.08*H5, 0.1*H21)</f>
        <v>0</v>
      </c>
      <c r="I22" s="370">
        <f>MAX(0, 0.03*I21)</f>
        <v>0</v>
      </c>
      <c r="J22" s="362">
        <f t="shared" si="0"/>
        <v>0</v>
      </c>
      <c r="K22" s="254" t="s">
        <v>495</v>
      </c>
      <c r="L22" s="367">
        <f>J22+0.03*'Ansvarlig kapital'!F33</f>
        <v>0</v>
      </c>
    </row>
    <row r="23" spans="1:12" s="62" customFormat="1" ht="17.25" customHeight="1">
      <c r="A23" s="252"/>
      <c r="B23" s="61"/>
      <c r="C23" s="255"/>
      <c r="D23" s="254"/>
      <c r="E23" s="255"/>
      <c r="F23" s="255"/>
      <c r="G23" s="255"/>
      <c r="H23" s="254"/>
      <c r="I23" s="255"/>
      <c r="J23" s="307"/>
      <c r="K23" s="307"/>
      <c r="L23" s="257"/>
    </row>
    <row r="24" spans="1:12" s="62" customFormat="1" ht="12.75" customHeight="1">
      <c r="A24" s="252"/>
      <c r="B24" s="61"/>
      <c r="C24" s="255"/>
      <c r="D24" s="254"/>
      <c r="E24" s="255"/>
      <c r="F24" s="255"/>
      <c r="G24" s="255"/>
      <c r="H24" s="254"/>
      <c r="I24" s="255"/>
      <c r="J24" s="307"/>
      <c r="K24" s="307"/>
      <c r="L24" s="257"/>
    </row>
    <row r="25" spans="1:12" s="62" customFormat="1" ht="12.75" customHeight="1">
      <c r="A25" s="371"/>
      <c r="B25" s="220"/>
      <c r="C25" s="372"/>
      <c r="D25" s="373"/>
      <c r="E25" s="372"/>
      <c r="F25" s="372"/>
      <c r="G25" s="372"/>
      <c r="H25" s="373"/>
      <c r="I25" s="372"/>
      <c r="J25" s="374"/>
      <c r="K25" s="374"/>
      <c r="L25" s="375"/>
    </row>
    <row r="68" spans="2:12">
      <c r="B68" s="166"/>
      <c r="C68" s="38"/>
      <c r="D68" s="376"/>
      <c r="E68" s="38"/>
      <c r="F68" s="38"/>
      <c r="G68" s="38"/>
      <c r="H68" s="38"/>
      <c r="I68" s="38"/>
      <c r="J68" s="38"/>
      <c r="K68" s="38"/>
      <c r="L68" s="38"/>
    </row>
    <row r="69" spans="2:12" ht="15.5">
      <c r="B69" s="167"/>
      <c r="C69" s="168"/>
      <c r="D69" s="376"/>
      <c r="E69" s="38"/>
      <c r="F69" s="38"/>
      <c r="G69" s="38"/>
      <c r="H69" s="38"/>
      <c r="I69" s="38"/>
      <c r="J69" s="38"/>
      <c r="K69" s="38"/>
      <c r="L69" s="38"/>
    </row>
    <row r="70" spans="2:12" ht="15.5">
      <c r="B70" s="167"/>
      <c r="C70" s="168"/>
      <c r="D70" s="376"/>
      <c r="E70" s="38"/>
      <c r="F70" s="38"/>
      <c r="G70" s="38"/>
      <c r="H70" s="38"/>
      <c r="I70" s="38"/>
      <c r="J70" s="38"/>
      <c r="K70" s="38"/>
      <c r="L70" s="38"/>
    </row>
    <row r="71" spans="2:12" ht="15.5">
      <c r="B71" s="167"/>
      <c r="C71" s="168"/>
      <c r="D71" s="376"/>
      <c r="E71" s="38"/>
      <c r="F71" s="38"/>
      <c r="G71" s="38"/>
      <c r="H71" s="38"/>
      <c r="I71" s="38"/>
      <c r="J71" s="3"/>
      <c r="K71" s="3"/>
      <c r="L71" s="3"/>
    </row>
    <row r="72" spans="2:12" ht="13">
      <c r="B72" s="167"/>
      <c r="C72" s="38"/>
      <c r="D72" s="377"/>
      <c r="E72" s="38"/>
      <c r="F72" s="38"/>
      <c r="G72" s="38"/>
      <c r="H72" s="38"/>
      <c r="I72" s="38"/>
      <c r="J72" s="378"/>
      <c r="K72" s="378"/>
      <c r="L72" s="378"/>
    </row>
    <row r="73" spans="2:12" ht="13">
      <c r="B73" s="167"/>
      <c r="C73" s="38"/>
      <c r="D73" s="376"/>
      <c r="E73" s="38"/>
      <c r="F73" s="38"/>
      <c r="G73" s="38"/>
      <c r="H73" s="38"/>
      <c r="I73" s="38"/>
      <c r="J73" s="378"/>
      <c r="K73" s="378"/>
      <c r="L73" s="378"/>
    </row>
    <row r="74" spans="2:12" ht="13">
      <c r="B74" s="167"/>
      <c r="C74" s="38"/>
      <c r="D74" s="376"/>
      <c r="E74" s="38"/>
      <c r="F74" s="38"/>
      <c r="G74" s="38"/>
      <c r="H74" s="38"/>
      <c r="I74" s="38"/>
      <c r="J74" s="379"/>
      <c r="K74" s="379"/>
      <c r="L74" s="379"/>
    </row>
    <row r="75" spans="2:12" ht="13">
      <c r="B75" s="167"/>
      <c r="C75" s="38"/>
      <c r="D75" s="376"/>
      <c r="E75" s="38"/>
      <c r="F75" s="38"/>
      <c r="G75" s="38"/>
      <c r="H75" s="38"/>
      <c r="I75" s="38"/>
      <c r="J75" s="379"/>
      <c r="K75" s="379"/>
      <c r="L75" s="379"/>
    </row>
    <row r="76" spans="2:12">
      <c r="B76" s="169"/>
      <c r="C76" s="380"/>
      <c r="D76" s="376"/>
      <c r="E76" s="38"/>
      <c r="F76" s="38"/>
      <c r="G76" s="38"/>
      <c r="H76" s="38"/>
      <c r="I76" s="38"/>
      <c r="J76" s="38"/>
      <c r="K76" s="38"/>
      <c r="L76" s="38"/>
    </row>
    <row r="77" spans="2:12" ht="17.5">
      <c r="B77" s="168"/>
      <c r="C77" s="170"/>
      <c r="D77" s="377"/>
      <c r="E77" s="38"/>
      <c r="F77" s="38"/>
      <c r="G77" s="38"/>
      <c r="H77" s="38"/>
      <c r="I77" s="38"/>
      <c r="J77" s="38"/>
      <c r="K77" s="38"/>
      <c r="L77" s="38"/>
    </row>
    <row r="78" spans="2:12" ht="18">
      <c r="B78" s="171"/>
      <c r="C78" s="170"/>
      <c r="D78" s="377"/>
      <c r="E78" s="38"/>
      <c r="F78" s="38"/>
      <c r="G78" s="38"/>
      <c r="H78" s="38"/>
      <c r="I78" s="38"/>
      <c r="J78" s="38"/>
      <c r="K78" s="38"/>
      <c r="L78" s="38"/>
    </row>
    <row r="79" spans="2:12" ht="14">
      <c r="B79" s="167"/>
      <c r="C79" s="167"/>
      <c r="D79" s="172"/>
      <c r="E79" s="38"/>
      <c r="F79" s="38"/>
      <c r="G79" s="38"/>
      <c r="H79" s="38"/>
      <c r="I79" s="38"/>
      <c r="J79" s="38"/>
      <c r="K79" s="38"/>
      <c r="L79" s="38"/>
    </row>
    <row r="80" spans="2:12" ht="13">
      <c r="B80" s="167"/>
      <c r="C80" s="167"/>
      <c r="D80" s="3"/>
      <c r="E80" s="38"/>
      <c r="F80" s="38"/>
      <c r="G80" s="38"/>
      <c r="H80" s="38"/>
      <c r="I80" s="38"/>
      <c r="J80" s="3"/>
      <c r="K80" s="3"/>
      <c r="L80" s="3"/>
    </row>
    <row r="81" spans="2:12" ht="13">
      <c r="B81" s="167"/>
      <c r="C81" s="381"/>
      <c r="D81" s="382"/>
      <c r="E81" s="38"/>
      <c r="F81" s="38"/>
      <c r="G81" s="38"/>
      <c r="H81" s="38"/>
      <c r="I81" s="38"/>
      <c r="J81" s="284"/>
      <c r="K81" s="284"/>
      <c r="L81" s="284"/>
    </row>
    <row r="82" spans="2:12" ht="13">
      <c r="B82" s="167"/>
      <c r="C82" s="381"/>
      <c r="D82" s="382"/>
      <c r="E82" s="38"/>
      <c r="F82" s="38"/>
      <c r="G82" s="38"/>
      <c r="H82" s="38"/>
      <c r="I82" s="38"/>
      <c r="J82" s="284"/>
      <c r="K82" s="284"/>
      <c r="L82" s="284"/>
    </row>
    <row r="83" spans="2:12" ht="13">
      <c r="B83" s="167"/>
      <c r="C83" s="381"/>
      <c r="D83" s="382"/>
      <c r="E83" s="38"/>
      <c r="F83" s="38"/>
      <c r="G83" s="38"/>
      <c r="H83" s="38"/>
      <c r="I83" s="38"/>
      <c r="J83" s="284"/>
      <c r="K83" s="284"/>
      <c r="L83" s="284"/>
    </row>
    <row r="84" spans="2:12" ht="13">
      <c r="B84" s="167"/>
      <c r="C84" s="381"/>
      <c r="D84" s="382"/>
      <c r="E84" s="38"/>
      <c r="F84" s="38"/>
      <c r="G84" s="38"/>
      <c r="H84" s="38"/>
      <c r="I84" s="38"/>
      <c r="J84" s="284"/>
      <c r="K84" s="284"/>
      <c r="L84" s="284"/>
    </row>
    <row r="85" spans="2:12" ht="13">
      <c r="B85" s="167"/>
      <c r="C85" s="381"/>
      <c r="D85" s="382"/>
      <c r="E85" s="38"/>
      <c r="F85" s="38"/>
      <c r="G85" s="38"/>
      <c r="H85" s="38"/>
      <c r="I85" s="38"/>
      <c r="J85" s="284"/>
      <c r="K85" s="284"/>
      <c r="L85" s="284"/>
    </row>
    <row r="86" spans="2:12" ht="13">
      <c r="B86" s="167"/>
      <c r="C86" s="167"/>
      <c r="D86" s="173"/>
      <c r="E86" s="38"/>
      <c r="F86" s="38"/>
      <c r="G86" s="38"/>
      <c r="H86" s="38"/>
      <c r="I86" s="38"/>
      <c r="J86" s="1"/>
      <c r="K86" s="1"/>
      <c r="L86" s="1"/>
    </row>
    <row r="87" spans="2:12" ht="14">
      <c r="B87" s="174"/>
      <c r="C87" s="175"/>
      <c r="D87" s="172"/>
      <c r="E87" s="38"/>
      <c r="F87" s="38"/>
      <c r="G87" s="38"/>
      <c r="H87" s="38"/>
      <c r="I87" s="38"/>
      <c r="J87" s="38"/>
      <c r="K87" s="38"/>
      <c r="L87" s="38"/>
    </row>
    <row r="88" spans="2:12" ht="14">
      <c r="B88" s="167"/>
      <c r="C88" s="167"/>
      <c r="D88" s="176"/>
      <c r="E88" s="38"/>
      <c r="F88" s="38"/>
      <c r="G88" s="38"/>
      <c r="H88" s="38"/>
      <c r="I88" s="38"/>
      <c r="J88" s="175"/>
      <c r="K88" s="175"/>
      <c r="L88" s="175"/>
    </row>
    <row r="89" spans="2:12" ht="13">
      <c r="B89" s="167"/>
      <c r="C89" s="381"/>
      <c r="D89" s="3"/>
      <c r="E89" s="38"/>
      <c r="F89" s="38"/>
      <c r="G89" s="38"/>
      <c r="H89" s="38"/>
      <c r="I89" s="38"/>
      <c r="J89" s="167"/>
      <c r="K89" s="167"/>
      <c r="L89" s="167"/>
    </row>
    <row r="90" spans="2:12" ht="13">
      <c r="B90" s="167"/>
      <c r="C90" s="381"/>
      <c r="D90" s="377"/>
      <c r="E90" s="38"/>
      <c r="F90" s="38"/>
      <c r="G90" s="38"/>
      <c r="H90" s="38"/>
      <c r="I90" s="38"/>
      <c r="J90" s="38"/>
      <c r="K90" s="38"/>
      <c r="L90" s="38"/>
    </row>
    <row r="91" spans="2:12" ht="13">
      <c r="B91" s="167"/>
      <c r="C91" s="381"/>
      <c r="D91" s="377"/>
      <c r="E91" s="38"/>
      <c r="F91" s="38"/>
      <c r="G91" s="38"/>
      <c r="H91" s="38"/>
      <c r="I91" s="38"/>
      <c r="J91" s="38"/>
      <c r="K91" s="38"/>
      <c r="L91" s="38"/>
    </row>
    <row r="92" spans="2:12" ht="13">
      <c r="B92" s="167"/>
      <c r="C92" s="381"/>
      <c r="D92" s="382"/>
      <c r="E92" s="38"/>
      <c r="F92" s="38"/>
      <c r="G92" s="38"/>
      <c r="H92" s="38"/>
      <c r="I92" s="38"/>
      <c r="J92" s="284"/>
      <c r="K92" s="284"/>
      <c r="L92" s="284"/>
    </row>
    <row r="93" spans="2:12" ht="13">
      <c r="B93" s="167"/>
      <c r="C93" s="381"/>
      <c r="D93" s="377"/>
      <c r="E93" s="38"/>
      <c r="F93" s="38"/>
      <c r="G93" s="38"/>
      <c r="H93" s="38"/>
      <c r="I93" s="38"/>
      <c r="J93" s="38"/>
      <c r="K93" s="38"/>
      <c r="L93" s="38"/>
    </row>
    <row r="94" spans="2:12" ht="13">
      <c r="B94" s="167"/>
      <c r="C94" s="167"/>
      <c r="D94" s="3"/>
      <c r="E94" s="38"/>
      <c r="F94" s="38"/>
      <c r="G94" s="38"/>
      <c r="H94" s="38"/>
      <c r="I94" s="38"/>
      <c r="J94" s="167"/>
      <c r="K94" s="167"/>
      <c r="L94" s="167"/>
    </row>
    <row r="95" spans="2:12" ht="14">
      <c r="B95" s="177"/>
      <c r="C95" s="38"/>
      <c r="D95" s="377"/>
      <c r="E95" s="38"/>
      <c r="F95" s="38"/>
      <c r="G95" s="38"/>
      <c r="H95" s="38"/>
      <c r="I95" s="38"/>
      <c r="J95" s="175"/>
      <c r="K95" s="175"/>
      <c r="L95" s="175"/>
    </row>
    <row r="96" spans="2:12" ht="15.5">
      <c r="B96" s="177"/>
      <c r="C96" s="168"/>
      <c r="D96" s="377"/>
      <c r="E96" s="38"/>
      <c r="F96" s="38"/>
      <c r="G96" s="38"/>
      <c r="H96" s="38"/>
      <c r="I96" s="38"/>
      <c r="J96" s="175"/>
      <c r="K96" s="175"/>
      <c r="L96" s="175"/>
    </row>
    <row r="97" spans="2:12" ht="14">
      <c r="B97" s="178"/>
      <c r="C97" s="167"/>
      <c r="D97" s="377"/>
      <c r="E97" s="38"/>
      <c r="F97" s="38"/>
      <c r="G97" s="38"/>
      <c r="H97" s="38"/>
      <c r="I97" s="38"/>
      <c r="J97" s="3"/>
      <c r="K97" s="3"/>
      <c r="L97" s="3"/>
    </row>
    <row r="98" spans="2:12" ht="14">
      <c r="B98" s="178"/>
      <c r="C98" s="167"/>
      <c r="D98" s="179"/>
      <c r="E98" s="38"/>
      <c r="F98" s="38"/>
      <c r="G98" s="38"/>
      <c r="H98" s="38"/>
      <c r="I98" s="38"/>
      <c r="J98" s="3"/>
      <c r="K98" s="3"/>
      <c r="L98" s="3"/>
    </row>
    <row r="99" spans="2:12" ht="13">
      <c r="B99" s="167"/>
      <c r="C99" s="381"/>
      <c r="D99" s="3"/>
      <c r="E99" s="38"/>
      <c r="F99" s="38"/>
      <c r="G99" s="38"/>
      <c r="H99" s="38"/>
      <c r="I99" s="38"/>
      <c r="J99" s="38"/>
      <c r="K99" s="38"/>
      <c r="L99" s="38"/>
    </row>
    <row r="100" spans="2:12" ht="13">
      <c r="B100" s="167"/>
      <c r="C100" s="381"/>
      <c r="D100" s="3"/>
      <c r="E100" s="38"/>
      <c r="F100" s="38"/>
      <c r="G100" s="38"/>
      <c r="H100" s="38"/>
      <c r="I100" s="38"/>
      <c r="J100" s="38"/>
      <c r="K100" s="38"/>
      <c r="L100" s="38"/>
    </row>
    <row r="101" spans="2:12" ht="13">
      <c r="B101" s="167"/>
      <c r="C101" s="381"/>
      <c r="D101" s="3"/>
      <c r="E101" s="38"/>
      <c r="F101" s="38"/>
      <c r="G101" s="38"/>
      <c r="H101" s="38"/>
      <c r="I101" s="38"/>
      <c r="J101" s="38"/>
      <c r="K101" s="38"/>
      <c r="L101" s="38"/>
    </row>
    <row r="102" spans="2:12" ht="13">
      <c r="B102" s="167"/>
      <c r="C102" s="381"/>
      <c r="D102" s="3"/>
      <c r="E102" s="38"/>
      <c r="F102" s="38"/>
      <c r="G102" s="38"/>
      <c r="H102" s="38"/>
      <c r="I102" s="38"/>
      <c r="J102" s="38"/>
      <c r="K102" s="38"/>
      <c r="L102" s="38"/>
    </row>
    <row r="103" spans="2:12">
      <c r="B103" s="169"/>
      <c r="C103" s="380"/>
      <c r="D103" s="376"/>
      <c r="E103" s="38"/>
      <c r="F103" s="38"/>
      <c r="G103" s="38"/>
      <c r="H103" s="38"/>
      <c r="I103" s="38"/>
      <c r="J103" s="38"/>
      <c r="K103" s="38"/>
      <c r="L103" s="38"/>
    </row>
    <row r="104" spans="2:12" ht="17.5">
      <c r="B104" s="168"/>
      <c r="C104" s="170"/>
      <c r="D104" s="377"/>
      <c r="E104" s="38"/>
      <c r="F104" s="38"/>
      <c r="G104" s="38"/>
      <c r="H104" s="38"/>
      <c r="I104" s="38"/>
      <c r="J104" s="38"/>
      <c r="K104" s="38"/>
      <c r="L104" s="38"/>
    </row>
    <row r="105" spans="2:12" ht="17.5">
      <c r="B105" s="168"/>
      <c r="C105" s="170"/>
      <c r="D105" s="377"/>
      <c r="E105" s="38"/>
      <c r="F105" s="38"/>
      <c r="G105" s="38"/>
      <c r="H105" s="38"/>
      <c r="I105" s="38"/>
      <c r="J105" s="38"/>
      <c r="K105" s="38"/>
      <c r="L105" s="38"/>
    </row>
    <row r="106" spans="2:12" ht="15.5">
      <c r="B106" s="167"/>
      <c r="C106" s="168"/>
      <c r="D106" s="377"/>
      <c r="E106" s="38"/>
      <c r="F106" s="38"/>
      <c r="G106" s="38"/>
      <c r="H106" s="38"/>
      <c r="I106" s="38"/>
      <c r="J106" s="38"/>
      <c r="K106" s="38"/>
      <c r="L106" s="38"/>
    </row>
    <row r="107" spans="2:12" ht="14">
      <c r="B107" s="167"/>
      <c r="C107" s="167"/>
      <c r="D107" s="172"/>
      <c r="E107" s="38"/>
      <c r="F107" s="38"/>
      <c r="G107" s="38"/>
      <c r="H107" s="38"/>
      <c r="I107" s="38"/>
      <c r="J107" s="38"/>
      <c r="K107" s="38"/>
      <c r="L107" s="38"/>
    </row>
    <row r="108" spans="2:12" ht="14">
      <c r="B108" s="167"/>
      <c r="C108" s="167"/>
      <c r="D108" s="172"/>
      <c r="E108" s="38"/>
      <c r="F108" s="38"/>
      <c r="G108" s="38"/>
      <c r="H108" s="38"/>
      <c r="I108" s="38"/>
      <c r="J108" s="3"/>
      <c r="K108" s="3"/>
      <c r="L108" s="3"/>
    </row>
    <row r="109" spans="2:12" ht="13">
      <c r="B109" s="167"/>
      <c r="C109" s="38"/>
      <c r="D109" s="377"/>
      <c r="E109" s="38"/>
      <c r="F109" s="38"/>
      <c r="G109" s="38"/>
      <c r="H109" s="38"/>
      <c r="I109" s="38"/>
      <c r="J109" s="377"/>
      <c r="K109" s="377"/>
      <c r="L109" s="377"/>
    </row>
    <row r="110" spans="2:12" ht="13">
      <c r="B110" s="167"/>
      <c r="C110" s="38"/>
      <c r="D110" s="377"/>
      <c r="E110" s="38"/>
      <c r="F110" s="38"/>
      <c r="G110" s="38"/>
      <c r="H110" s="38"/>
      <c r="I110" s="38"/>
      <c r="J110" s="377"/>
      <c r="K110" s="377"/>
      <c r="L110" s="377"/>
    </row>
    <row r="111" spans="2:12" ht="13">
      <c r="B111" s="167"/>
      <c r="C111" s="38"/>
      <c r="D111" s="377"/>
      <c r="E111" s="38"/>
      <c r="F111" s="38"/>
      <c r="G111" s="38"/>
      <c r="H111" s="38"/>
      <c r="I111" s="38"/>
      <c r="J111" s="377"/>
      <c r="K111" s="377"/>
      <c r="L111" s="377"/>
    </row>
    <row r="112" spans="2:12" ht="14">
      <c r="B112" s="178"/>
      <c r="C112" s="38"/>
      <c r="D112" s="377"/>
      <c r="E112" s="38"/>
      <c r="F112" s="38"/>
      <c r="G112" s="38"/>
      <c r="H112" s="38"/>
      <c r="I112" s="38"/>
      <c r="J112" s="179"/>
      <c r="K112" s="179"/>
      <c r="L112" s="179"/>
    </row>
    <row r="113" spans="2:12" ht="13">
      <c r="B113" s="167"/>
      <c r="C113" s="167"/>
      <c r="D113" s="377"/>
      <c r="E113" s="38"/>
      <c r="F113" s="38"/>
      <c r="G113" s="38"/>
      <c r="H113" s="38"/>
      <c r="I113" s="38"/>
      <c r="J113" s="3"/>
      <c r="K113" s="3"/>
      <c r="L113" s="3"/>
    </row>
    <row r="114" spans="2:12" ht="13">
      <c r="B114" s="167"/>
      <c r="C114" s="381"/>
      <c r="D114" s="377"/>
      <c r="E114" s="38"/>
      <c r="F114" s="38"/>
      <c r="G114" s="38"/>
      <c r="H114" s="38"/>
      <c r="I114" s="38"/>
      <c r="J114" s="284"/>
      <c r="K114" s="284"/>
      <c r="L114" s="284"/>
    </row>
    <row r="115" spans="2:12" ht="13">
      <c r="B115" s="167"/>
      <c r="C115" s="381"/>
      <c r="D115" s="377"/>
      <c r="E115" s="38"/>
      <c r="F115" s="38"/>
      <c r="G115" s="38"/>
      <c r="H115" s="38"/>
      <c r="I115" s="38"/>
      <c r="J115" s="284"/>
      <c r="K115" s="284"/>
      <c r="L115" s="284"/>
    </row>
    <row r="116" spans="2:12" ht="13">
      <c r="B116" s="167"/>
      <c r="C116" s="381"/>
      <c r="D116" s="377"/>
      <c r="E116" s="38"/>
      <c r="F116" s="38"/>
      <c r="G116" s="38"/>
      <c r="H116" s="38"/>
      <c r="I116" s="38"/>
      <c r="J116" s="284"/>
      <c r="K116" s="284"/>
      <c r="L116" s="284"/>
    </row>
    <row r="117" spans="2:12" ht="13">
      <c r="B117" s="167"/>
      <c r="C117" s="381"/>
      <c r="D117" s="377"/>
      <c r="E117" s="38"/>
      <c r="F117" s="38"/>
      <c r="G117" s="38"/>
      <c r="H117" s="38"/>
      <c r="I117" s="38"/>
      <c r="J117" s="284"/>
      <c r="K117" s="284"/>
      <c r="L117" s="284"/>
    </row>
    <row r="118" spans="2:12" ht="13">
      <c r="B118" s="167"/>
      <c r="C118" s="381"/>
      <c r="D118" s="377"/>
      <c r="E118" s="38"/>
      <c r="F118" s="38"/>
      <c r="G118" s="38"/>
      <c r="H118" s="38"/>
      <c r="I118" s="38"/>
      <c r="J118" s="284"/>
      <c r="K118" s="284"/>
      <c r="L118" s="284"/>
    </row>
    <row r="119" spans="2:12" ht="13">
      <c r="B119" s="167"/>
      <c r="C119" s="38"/>
      <c r="D119" s="377"/>
      <c r="E119" s="38"/>
      <c r="F119" s="38"/>
      <c r="G119" s="38"/>
      <c r="H119" s="38"/>
      <c r="I119" s="38"/>
      <c r="J119" s="179"/>
      <c r="K119" s="179"/>
      <c r="L119" s="179"/>
    </row>
    <row r="120" spans="2:12" ht="13">
      <c r="B120" s="167"/>
      <c r="C120" s="167"/>
      <c r="D120" s="377"/>
      <c r="E120" s="38"/>
      <c r="F120" s="38"/>
      <c r="G120" s="38"/>
      <c r="H120" s="38"/>
      <c r="I120" s="38"/>
      <c r="J120" s="3"/>
      <c r="K120" s="3"/>
      <c r="L120" s="3"/>
    </row>
    <row r="121" spans="2:12" ht="13">
      <c r="B121" s="167"/>
      <c r="C121" s="381"/>
      <c r="D121" s="377"/>
      <c r="E121" s="38"/>
      <c r="F121" s="38"/>
      <c r="G121" s="38"/>
      <c r="H121" s="38"/>
      <c r="I121" s="38"/>
      <c r="J121" s="284"/>
      <c r="K121" s="284"/>
      <c r="L121" s="284"/>
    </row>
    <row r="122" spans="2:12" ht="13">
      <c r="B122" s="167"/>
      <c r="C122" s="381"/>
      <c r="D122" s="377"/>
      <c r="E122" s="38"/>
      <c r="F122" s="38"/>
      <c r="G122" s="38"/>
      <c r="H122" s="38"/>
      <c r="I122" s="38"/>
      <c r="J122" s="284"/>
      <c r="K122" s="284"/>
      <c r="L122" s="284"/>
    </row>
    <row r="123" spans="2:12" ht="13">
      <c r="B123" s="167"/>
      <c r="C123" s="381"/>
      <c r="D123" s="377"/>
      <c r="E123" s="38"/>
      <c r="F123" s="38"/>
      <c r="G123" s="38"/>
      <c r="H123" s="38"/>
      <c r="I123" s="38"/>
      <c r="J123" s="284"/>
      <c r="K123" s="284"/>
      <c r="L123" s="284"/>
    </row>
    <row r="124" spans="2:12" ht="13">
      <c r="B124" s="167"/>
      <c r="C124" s="381"/>
      <c r="D124" s="377"/>
      <c r="E124" s="38"/>
      <c r="F124" s="38"/>
      <c r="G124" s="38"/>
      <c r="H124" s="38"/>
      <c r="I124" s="38"/>
      <c r="J124" s="284"/>
      <c r="K124" s="284"/>
      <c r="L124" s="284"/>
    </row>
    <row r="125" spans="2:12" ht="13">
      <c r="B125" s="167"/>
      <c r="C125" s="38"/>
      <c r="D125" s="377"/>
      <c r="E125" s="38"/>
      <c r="F125" s="38"/>
      <c r="G125" s="38"/>
      <c r="H125" s="38"/>
      <c r="I125" s="38"/>
      <c r="J125" s="38"/>
      <c r="K125" s="38"/>
      <c r="L125" s="38"/>
    </row>
    <row r="126" spans="2:12" ht="13">
      <c r="B126" s="167"/>
      <c r="C126" s="167"/>
      <c r="D126" s="377"/>
      <c r="E126" s="38"/>
      <c r="F126" s="38"/>
      <c r="G126" s="38"/>
      <c r="H126" s="38"/>
      <c r="I126" s="38"/>
      <c r="J126" s="284"/>
      <c r="K126" s="284"/>
      <c r="L126" s="284"/>
    </row>
    <row r="127" spans="2:12" ht="13">
      <c r="B127" s="167"/>
      <c r="C127" s="381"/>
      <c r="D127" s="377"/>
      <c r="E127" s="38"/>
      <c r="F127" s="38"/>
      <c r="G127" s="38"/>
      <c r="H127" s="38"/>
      <c r="I127" s="38"/>
      <c r="J127" s="378"/>
      <c r="K127" s="378"/>
      <c r="L127" s="378"/>
    </row>
    <row r="128" spans="2:12" ht="13">
      <c r="B128" s="167"/>
      <c r="C128" s="381"/>
      <c r="D128" s="377"/>
      <c r="E128" s="38"/>
      <c r="F128" s="38"/>
      <c r="G128" s="38"/>
      <c r="H128" s="38"/>
      <c r="I128" s="38"/>
      <c r="J128" s="378"/>
      <c r="K128" s="378"/>
      <c r="L128" s="378"/>
    </row>
    <row r="129" spans="2:12" ht="13">
      <c r="B129" s="167"/>
      <c r="C129" s="381"/>
      <c r="D129" s="377"/>
      <c r="E129" s="38"/>
      <c r="F129" s="38"/>
      <c r="G129" s="38"/>
      <c r="H129" s="38"/>
      <c r="I129" s="38"/>
      <c r="J129" s="378"/>
      <c r="K129" s="378"/>
      <c r="L129" s="378"/>
    </row>
    <row r="130" spans="2:12" ht="13">
      <c r="B130" s="167"/>
      <c r="C130" s="381"/>
      <c r="D130" s="377"/>
      <c r="E130" s="38"/>
      <c r="F130" s="38"/>
      <c r="G130" s="38"/>
      <c r="H130" s="38"/>
      <c r="I130" s="38"/>
      <c r="J130" s="378"/>
      <c r="K130" s="378"/>
      <c r="L130" s="378"/>
    </row>
    <row r="131" spans="2:12" ht="13">
      <c r="B131" s="167"/>
      <c r="C131" s="38"/>
      <c r="D131" s="377"/>
      <c r="E131" s="38"/>
      <c r="F131" s="38"/>
      <c r="G131" s="38"/>
      <c r="H131" s="38"/>
      <c r="I131" s="38"/>
      <c r="J131" s="38"/>
      <c r="K131" s="38"/>
      <c r="L131" s="38"/>
    </row>
    <row r="132" spans="2:12" ht="13">
      <c r="B132" s="167"/>
      <c r="C132" s="167"/>
      <c r="D132" s="377"/>
      <c r="E132" s="38"/>
      <c r="F132" s="38"/>
      <c r="G132" s="38"/>
      <c r="H132" s="38"/>
      <c r="I132" s="38"/>
      <c r="J132" s="377"/>
      <c r="K132" s="377"/>
      <c r="L132" s="377"/>
    </row>
    <row r="133" spans="2:12" ht="13">
      <c r="B133" s="167"/>
      <c r="C133" s="381"/>
      <c r="D133" s="377"/>
      <c r="E133" s="284"/>
      <c r="F133" s="284"/>
      <c r="G133" s="284"/>
      <c r="H133" s="38"/>
      <c r="I133" s="38"/>
      <c r="J133" s="284"/>
      <c r="K133" s="284"/>
      <c r="L133" s="284"/>
    </row>
    <row r="134" spans="2:12" ht="13">
      <c r="B134" s="167"/>
      <c r="C134" s="381"/>
      <c r="D134" s="377"/>
      <c r="E134" s="284"/>
      <c r="F134" s="284"/>
      <c r="G134" s="284"/>
      <c r="H134" s="38"/>
      <c r="I134" s="38"/>
      <c r="J134" s="284"/>
      <c r="K134" s="284"/>
      <c r="L134" s="284"/>
    </row>
    <row r="135" spans="2:12" ht="13">
      <c r="B135" s="167"/>
      <c r="C135" s="381"/>
      <c r="D135" s="377"/>
      <c r="E135" s="284"/>
      <c r="F135" s="284"/>
      <c r="G135" s="284"/>
      <c r="H135" s="38"/>
      <c r="I135" s="38"/>
      <c r="J135" s="284"/>
      <c r="K135" s="284"/>
      <c r="L135" s="284"/>
    </row>
    <row r="136" spans="2:12" ht="13">
      <c r="B136" s="167"/>
      <c r="C136" s="381"/>
      <c r="D136" s="377"/>
      <c r="E136" s="284"/>
      <c r="F136" s="284"/>
      <c r="G136" s="284"/>
      <c r="H136" s="38"/>
      <c r="I136" s="38"/>
      <c r="J136" s="284"/>
      <c r="K136" s="284"/>
      <c r="L136" s="284"/>
    </row>
    <row r="137" spans="2:12" ht="13">
      <c r="B137" s="167"/>
      <c r="C137" s="167"/>
      <c r="D137" s="377"/>
      <c r="E137" s="38"/>
      <c r="F137" s="38"/>
      <c r="G137" s="38"/>
      <c r="H137" s="38"/>
      <c r="I137" s="38"/>
      <c r="J137" s="38"/>
      <c r="K137" s="38"/>
      <c r="L137" s="38"/>
    </row>
    <row r="138" spans="2:12" ht="13">
      <c r="B138" s="167"/>
      <c r="C138" s="38"/>
      <c r="D138" s="377"/>
      <c r="E138" s="38"/>
      <c r="F138" s="38"/>
      <c r="G138" s="38"/>
      <c r="H138" s="38"/>
      <c r="I138" s="38"/>
      <c r="J138" s="38"/>
      <c r="K138" s="38"/>
      <c r="L138" s="38"/>
    </row>
    <row r="139" spans="2:12" ht="15.5">
      <c r="B139" s="168"/>
      <c r="C139" s="38"/>
      <c r="D139" s="377"/>
      <c r="E139" s="38"/>
      <c r="F139" s="38"/>
      <c r="G139" s="38"/>
      <c r="H139" s="38"/>
      <c r="I139" s="38"/>
      <c r="J139" s="38"/>
      <c r="K139" s="38"/>
      <c r="L139" s="38"/>
    </row>
    <row r="140" spans="2:12" ht="15.5">
      <c r="B140" s="168"/>
      <c r="C140" s="38"/>
      <c r="D140" s="377"/>
      <c r="E140" s="38"/>
      <c r="F140" s="38"/>
      <c r="G140" s="38"/>
      <c r="H140" s="38"/>
      <c r="I140" s="38"/>
      <c r="J140" s="38"/>
      <c r="K140" s="38"/>
      <c r="L140" s="38"/>
    </row>
    <row r="141" spans="2:12" ht="13">
      <c r="B141" s="167"/>
      <c r="C141" s="167"/>
      <c r="D141" s="377"/>
      <c r="E141" s="38"/>
      <c r="F141" s="38"/>
      <c r="G141" s="38"/>
      <c r="H141" s="38"/>
      <c r="I141" s="38"/>
      <c r="J141" s="38"/>
      <c r="K141" s="38"/>
      <c r="L141" s="38"/>
    </row>
    <row r="142" spans="2:12" ht="13">
      <c r="B142" s="167"/>
      <c r="C142" s="180"/>
      <c r="D142" s="3"/>
      <c r="E142" s="38"/>
      <c r="F142" s="38"/>
      <c r="G142" s="38"/>
      <c r="H142" s="38"/>
      <c r="I142" s="38"/>
      <c r="J142" s="3"/>
      <c r="K142" s="3"/>
      <c r="L142" s="3"/>
    </row>
    <row r="143" spans="2:12" ht="13">
      <c r="B143" s="167"/>
      <c r="C143" s="38"/>
      <c r="D143" s="382"/>
      <c r="E143" s="38"/>
      <c r="F143" s="38"/>
      <c r="G143" s="38"/>
      <c r="H143" s="38"/>
      <c r="I143" s="38"/>
      <c r="J143" s="38"/>
      <c r="K143" s="38"/>
      <c r="L143" s="38"/>
    </row>
    <row r="144" spans="2:12" ht="13">
      <c r="B144" s="167"/>
      <c r="C144" s="38"/>
      <c r="D144" s="382"/>
      <c r="E144" s="38"/>
      <c r="F144" s="38"/>
      <c r="G144" s="38"/>
      <c r="H144" s="38"/>
      <c r="I144" s="38"/>
      <c r="J144" s="38"/>
      <c r="K144" s="38"/>
      <c r="L144" s="38"/>
    </row>
    <row r="145" spans="2:12" ht="13">
      <c r="B145" s="167"/>
      <c r="C145" s="38"/>
      <c r="D145" s="382"/>
      <c r="E145" s="38"/>
      <c r="F145" s="38"/>
      <c r="G145" s="38"/>
      <c r="H145" s="38"/>
      <c r="I145" s="38"/>
      <c r="J145" s="284"/>
      <c r="K145" s="284"/>
      <c r="L145" s="284"/>
    </row>
    <row r="146" spans="2:12" ht="13">
      <c r="B146" s="167"/>
      <c r="C146" s="38"/>
      <c r="D146" s="382"/>
      <c r="E146" s="38"/>
      <c r="F146" s="38"/>
      <c r="G146" s="38"/>
      <c r="H146" s="38"/>
      <c r="I146" s="38"/>
      <c r="J146" s="284"/>
      <c r="K146" s="284"/>
      <c r="L146" s="284"/>
    </row>
    <row r="147" spans="2:12" ht="13">
      <c r="B147" s="167"/>
      <c r="C147" s="38"/>
      <c r="D147" s="382"/>
      <c r="E147" s="38"/>
      <c r="F147" s="38"/>
      <c r="G147" s="38"/>
      <c r="H147" s="38"/>
      <c r="I147" s="38"/>
      <c r="J147" s="38"/>
      <c r="K147" s="38"/>
      <c r="L147" s="38"/>
    </row>
    <row r="148" spans="2:12" ht="13">
      <c r="B148" s="167"/>
      <c r="C148" s="38"/>
      <c r="D148" s="382"/>
      <c r="E148" s="38"/>
      <c r="F148" s="38"/>
      <c r="G148" s="38"/>
      <c r="H148" s="38"/>
      <c r="I148" s="38"/>
      <c r="J148" s="284"/>
      <c r="K148" s="284"/>
      <c r="L148" s="284"/>
    </row>
    <row r="149" spans="2:12" ht="13">
      <c r="B149" s="167"/>
      <c r="C149" s="38"/>
      <c r="D149" s="382"/>
      <c r="E149" s="38"/>
      <c r="F149" s="38"/>
      <c r="G149" s="38"/>
      <c r="H149" s="38"/>
      <c r="I149" s="38"/>
      <c r="J149" s="38"/>
      <c r="K149" s="38"/>
      <c r="L149" s="38"/>
    </row>
    <row r="150" spans="2:12" ht="13">
      <c r="B150" s="167"/>
      <c r="C150" s="38"/>
      <c r="D150" s="382"/>
      <c r="E150" s="38"/>
      <c r="F150" s="38"/>
      <c r="G150" s="38"/>
      <c r="H150" s="38"/>
      <c r="I150" s="38"/>
      <c r="J150" s="284"/>
      <c r="K150" s="284"/>
      <c r="L150" s="284"/>
    </row>
    <row r="151" spans="2:12" ht="13">
      <c r="B151" s="167"/>
      <c r="C151" s="38"/>
      <c r="D151" s="382"/>
      <c r="E151" s="38"/>
      <c r="F151" s="38"/>
      <c r="G151" s="38"/>
      <c r="H151" s="38"/>
      <c r="I151" s="38"/>
      <c r="J151" s="38"/>
      <c r="K151" s="38"/>
      <c r="L151" s="38"/>
    </row>
    <row r="152" spans="2:12" ht="13">
      <c r="B152" s="167"/>
      <c r="C152" s="167"/>
      <c r="D152" s="173"/>
      <c r="E152" s="38"/>
      <c r="F152" s="38"/>
      <c r="G152" s="38"/>
      <c r="H152" s="38"/>
      <c r="I152" s="38"/>
      <c r="J152" s="1"/>
      <c r="K152" s="1"/>
      <c r="L152" s="1"/>
    </row>
    <row r="153" spans="2:12" ht="13">
      <c r="B153" s="167"/>
      <c r="C153" s="167"/>
      <c r="D153" s="179"/>
      <c r="E153" s="38"/>
      <c r="F153" s="38"/>
      <c r="G153" s="38"/>
      <c r="H153" s="38"/>
      <c r="I153" s="38"/>
      <c r="J153" s="179"/>
      <c r="K153" s="179"/>
      <c r="L153" s="179"/>
    </row>
    <row r="154" spans="2:12" ht="13">
      <c r="B154" s="167"/>
      <c r="C154" s="167"/>
      <c r="D154" s="179"/>
      <c r="E154" s="38"/>
      <c r="F154" s="38"/>
      <c r="G154" s="38"/>
      <c r="H154" s="38"/>
      <c r="I154" s="38"/>
      <c r="J154" s="179"/>
      <c r="K154" s="179"/>
      <c r="L154" s="179"/>
    </row>
    <row r="155" spans="2:12" ht="13">
      <c r="B155" s="167"/>
      <c r="C155" s="167"/>
      <c r="D155" s="179"/>
      <c r="E155" s="38"/>
      <c r="F155" s="38"/>
      <c r="G155" s="38"/>
      <c r="H155" s="38"/>
      <c r="I155" s="38"/>
      <c r="J155" s="179"/>
      <c r="K155" s="179"/>
      <c r="L155" s="179"/>
    </row>
    <row r="156" spans="2:12" ht="13">
      <c r="B156" s="167"/>
      <c r="C156" s="38"/>
      <c r="D156" s="382"/>
      <c r="E156" s="38"/>
      <c r="F156" s="38"/>
      <c r="G156" s="38"/>
      <c r="H156" s="38"/>
      <c r="I156" s="38"/>
      <c r="J156" s="38"/>
      <c r="K156" s="38"/>
      <c r="L156" s="38"/>
    </row>
    <row r="157" spans="2:12" ht="13">
      <c r="B157" s="167"/>
      <c r="C157" s="38"/>
      <c r="D157" s="382"/>
      <c r="E157" s="38"/>
      <c r="F157" s="38"/>
      <c r="G157" s="38"/>
      <c r="H157" s="38"/>
      <c r="I157" s="38"/>
      <c r="J157" s="38"/>
      <c r="K157" s="38"/>
      <c r="L157" s="38"/>
    </row>
    <row r="158" spans="2:12" ht="13">
      <c r="B158" s="167"/>
      <c r="C158" s="38"/>
      <c r="D158" s="382"/>
      <c r="E158" s="38"/>
      <c r="F158" s="38"/>
      <c r="G158" s="38"/>
      <c r="H158" s="38"/>
      <c r="I158" s="38"/>
      <c r="J158" s="284"/>
      <c r="K158" s="284"/>
      <c r="L158" s="284"/>
    </row>
    <row r="159" spans="2:12" ht="13">
      <c r="B159" s="167"/>
      <c r="C159" s="38"/>
      <c r="D159" s="382"/>
      <c r="E159" s="38"/>
      <c r="F159" s="38"/>
      <c r="G159" s="38"/>
      <c r="H159" s="38"/>
      <c r="I159" s="38"/>
      <c r="J159" s="284"/>
      <c r="K159" s="284"/>
      <c r="L159" s="284"/>
    </row>
    <row r="160" spans="2:12" ht="13">
      <c r="B160" s="167"/>
      <c r="C160" s="38"/>
      <c r="D160" s="382"/>
      <c r="E160" s="38"/>
      <c r="F160" s="38"/>
      <c r="G160" s="38"/>
      <c r="H160" s="38"/>
      <c r="I160" s="38"/>
      <c r="J160" s="38"/>
      <c r="K160" s="38"/>
      <c r="L160" s="38"/>
    </row>
    <row r="161" spans="2:12" ht="13">
      <c r="B161" s="167"/>
      <c r="C161" s="38"/>
      <c r="D161" s="382"/>
      <c r="E161" s="38"/>
      <c r="F161" s="38"/>
      <c r="G161" s="38"/>
      <c r="H161" s="38"/>
      <c r="I161" s="38"/>
      <c r="J161" s="284"/>
      <c r="K161" s="284"/>
      <c r="L161" s="284"/>
    </row>
    <row r="162" spans="2:12" ht="13">
      <c r="B162" s="167"/>
      <c r="C162" s="38"/>
      <c r="D162" s="382"/>
      <c r="E162" s="38"/>
      <c r="F162" s="38"/>
      <c r="G162" s="38"/>
      <c r="H162" s="38"/>
      <c r="I162" s="38"/>
      <c r="J162" s="38"/>
      <c r="K162" s="38"/>
      <c r="L162" s="38"/>
    </row>
    <row r="163" spans="2:12" ht="13">
      <c r="B163" s="167"/>
      <c r="C163" s="38"/>
      <c r="D163" s="382"/>
      <c r="E163" s="38"/>
      <c r="F163" s="38"/>
      <c r="G163" s="38"/>
      <c r="H163" s="38"/>
      <c r="I163" s="38"/>
      <c r="J163" s="284"/>
      <c r="K163" s="284"/>
      <c r="L163" s="284"/>
    </row>
    <row r="164" spans="2:12" ht="13">
      <c r="B164" s="167"/>
      <c r="C164" s="38"/>
      <c r="D164" s="382"/>
      <c r="E164" s="38"/>
      <c r="F164" s="38"/>
      <c r="G164" s="38"/>
      <c r="H164" s="38"/>
      <c r="I164" s="38"/>
      <c r="J164" s="38"/>
      <c r="K164" s="38"/>
      <c r="L164" s="38"/>
    </row>
    <row r="165" spans="2:12" ht="13">
      <c r="B165" s="167"/>
      <c r="C165" s="167"/>
      <c r="D165" s="173"/>
      <c r="E165" s="38"/>
      <c r="F165" s="38"/>
      <c r="G165" s="38"/>
      <c r="H165" s="38"/>
      <c r="I165" s="38"/>
      <c r="J165" s="1"/>
      <c r="K165" s="1"/>
      <c r="L165" s="1"/>
    </row>
    <row r="166" spans="2:12" ht="13">
      <c r="B166" s="167"/>
      <c r="C166" s="383"/>
      <c r="D166" s="377"/>
      <c r="E166" s="38"/>
      <c r="F166" s="38"/>
      <c r="G166" s="38"/>
      <c r="H166" s="38"/>
      <c r="I166" s="38"/>
      <c r="J166" s="38"/>
      <c r="K166" s="38"/>
      <c r="L166" s="38"/>
    </row>
    <row r="167" spans="2:12" ht="15.5">
      <c r="B167" s="167"/>
      <c r="C167" s="168"/>
      <c r="D167" s="377"/>
      <c r="E167" s="38"/>
      <c r="F167" s="38"/>
      <c r="G167" s="38"/>
      <c r="H167" s="38"/>
      <c r="I167" s="38"/>
      <c r="J167" s="38"/>
      <c r="K167" s="38"/>
      <c r="L167" s="38"/>
    </row>
    <row r="168" spans="2:12" ht="13">
      <c r="B168" s="167"/>
      <c r="C168" s="167"/>
      <c r="D168" s="377"/>
      <c r="E168" s="38"/>
      <c r="F168" s="38"/>
      <c r="G168" s="38"/>
      <c r="H168" s="38"/>
      <c r="I168" s="38"/>
      <c r="J168" s="38"/>
      <c r="K168" s="38"/>
      <c r="L168" s="38"/>
    </row>
    <row r="169" spans="2:12" ht="13">
      <c r="B169" s="167"/>
      <c r="C169" s="167"/>
      <c r="D169" s="377"/>
      <c r="E169" s="38"/>
      <c r="F169" s="38"/>
      <c r="G169" s="38"/>
      <c r="H169" s="38"/>
      <c r="I169" s="38"/>
      <c r="J169" s="3"/>
      <c r="K169" s="3"/>
      <c r="L169" s="3"/>
    </row>
    <row r="170" spans="2:12" ht="13">
      <c r="B170" s="167"/>
      <c r="C170" s="38"/>
      <c r="D170" s="377"/>
      <c r="E170" s="38"/>
      <c r="F170" s="38"/>
      <c r="G170" s="38"/>
      <c r="H170" s="38"/>
      <c r="I170" s="38"/>
      <c r="J170" s="3"/>
      <c r="K170" s="3"/>
      <c r="L170" s="3"/>
    </row>
    <row r="171" spans="2:12" ht="13">
      <c r="B171" s="167"/>
      <c r="C171" s="38"/>
      <c r="D171" s="377"/>
      <c r="E171" s="38"/>
      <c r="F171" s="38"/>
      <c r="G171" s="38"/>
      <c r="H171" s="38"/>
      <c r="I171" s="38"/>
      <c r="J171" s="3"/>
      <c r="K171" s="3"/>
      <c r="L171" s="3"/>
    </row>
    <row r="172" spans="2:12" ht="13">
      <c r="B172" s="167"/>
      <c r="C172" s="38"/>
      <c r="D172" s="377"/>
      <c r="E172" s="38"/>
      <c r="F172" s="38"/>
      <c r="G172" s="38"/>
      <c r="H172" s="38"/>
      <c r="I172" s="38"/>
      <c r="J172" s="3"/>
      <c r="K172" s="3"/>
      <c r="L172" s="3"/>
    </row>
    <row r="173" spans="2:12" ht="13">
      <c r="B173" s="167"/>
      <c r="C173" s="38"/>
      <c r="D173" s="181"/>
      <c r="E173" s="38"/>
      <c r="F173" s="38"/>
      <c r="G173" s="38"/>
      <c r="H173" s="38"/>
      <c r="I173" s="38"/>
      <c r="J173" s="38"/>
      <c r="K173" s="38"/>
      <c r="L173" s="38"/>
    </row>
    <row r="174" spans="2:12" ht="13">
      <c r="B174" s="167"/>
      <c r="C174" s="38"/>
      <c r="D174" s="377"/>
      <c r="E174" s="38"/>
      <c r="F174" s="38"/>
      <c r="G174" s="38"/>
      <c r="H174" s="38"/>
      <c r="I174" s="38"/>
      <c r="J174" s="284"/>
      <c r="K174" s="284"/>
      <c r="L174" s="284"/>
    </row>
    <row r="175" spans="2:12" ht="13">
      <c r="B175" s="167"/>
      <c r="C175" s="38"/>
      <c r="D175" s="377"/>
      <c r="E175" s="38"/>
      <c r="F175" s="38"/>
      <c r="G175" s="38"/>
      <c r="H175" s="38"/>
      <c r="I175" s="38"/>
      <c r="J175" s="284"/>
      <c r="K175" s="284"/>
      <c r="L175" s="284"/>
    </row>
    <row r="176" spans="2:12" ht="13">
      <c r="B176" s="167"/>
      <c r="C176" s="38"/>
      <c r="D176" s="181"/>
      <c r="E176" s="38"/>
      <c r="F176" s="38"/>
      <c r="G176" s="38"/>
      <c r="H176" s="38"/>
      <c r="I176" s="38"/>
      <c r="J176" s="38"/>
      <c r="K176" s="38"/>
      <c r="L176" s="38"/>
    </row>
    <row r="177" spans="2:12" ht="13">
      <c r="B177" s="167"/>
      <c r="C177" s="38"/>
      <c r="D177" s="377"/>
      <c r="E177" s="38"/>
      <c r="F177" s="38"/>
      <c r="G177" s="38"/>
      <c r="H177" s="38"/>
      <c r="I177" s="38"/>
      <c r="J177" s="284"/>
      <c r="K177" s="284"/>
      <c r="L177" s="284"/>
    </row>
    <row r="178" spans="2:12" ht="13">
      <c r="B178" s="167"/>
      <c r="C178" s="38"/>
      <c r="D178" s="377"/>
      <c r="E178" s="38"/>
      <c r="F178" s="38"/>
      <c r="G178" s="38"/>
      <c r="H178" s="38"/>
      <c r="I178" s="38"/>
      <c r="J178" s="284"/>
      <c r="K178" s="284"/>
      <c r="L178" s="284"/>
    </row>
    <row r="179" spans="2:12" ht="13">
      <c r="B179" s="167"/>
      <c r="C179" s="38"/>
      <c r="D179" s="377"/>
      <c r="E179" s="38"/>
      <c r="F179" s="38"/>
      <c r="G179" s="38"/>
      <c r="H179" s="38"/>
      <c r="I179" s="38"/>
      <c r="J179" s="378"/>
      <c r="K179" s="378"/>
      <c r="L179" s="378"/>
    </row>
    <row r="180" spans="2:12" ht="13">
      <c r="B180" s="167"/>
      <c r="C180" s="38"/>
      <c r="D180" s="377"/>
      <c r="E180" s="38"/>
      <c r="F180" s="38"/>
      <c r="G180" s="38"/>
      <c r="H180" s="38"/>
      <c r="I180" s="38"/>
      <c r="J180" s="378"/>
      <c r="K180" s="378"/>
      <c r="L180" s="378"/>
    </row>
    <row r="181" spans="2:12" ht="13">
      <c r="B181" s="167"/>
      <c r="C181" s="167"/>
      <c r="D181" s="377"/>
      <c r="E181" s="38"/>
      <c r="F181" s="38"/>
      <c r="G181" s="38"/>
      <c r="H181" s="38"/>
      <c r="I181" s="38"/>
      <c r="J181" s="284"/>
      <c r="K181" s="284"/>
      <c r="L181" s="284"/>
    </row>
    <row r="182" spans="2:12" ht="13">
      <c r="B182" s="167"/>
      <c r="C182" s="38"/>
      <c r="D182" s="377"/>
      <c r="E182" s="38"/>
      <c r="F182" s="38"/>
      <c r="G182" s="38"/>
      <c r="H182" s="38"/>
      <c r="I182" s="38"/>
      <c r="J182" s="38"/>
      <c r="K182" s="38"/>
      <c r="L182" s="38"/>
    </row>
    <row r="183" spans="2:12" ht="15.5">
      <c r="B183" s="168"/>
      <c r="C183" s="38"/>
      <c r="D183" s="377"/>
      <c r="E183" s="38"/>
      <c r="F183" s="38"/>
      <c r="G183" s="38"/>
      <c r="H183" s="38"/>
      <c r="I183" s="38"/>
      <c r="J183" s="38"/>
      <c r="K183" s="38"/>
      <c r="L183" s="38"/>
    </row>
    <row r="184" spans="2:12" ht="13">
      <c r="B184" s="167"/>
      <c r="C184" s="38"/>
      <c r="D184" s="376"/>
      <c r="E184" s="38"/>
      <c r="F184" s="38"/>
      <c r="G184" s="38"/>
      <c r="H184" s="38"/>
      <c r="I184" s="38"/>
      <c r="J184" s="38"/>
      <c r="K184" s="38"/>
      <c r="L184" s="38"/>
    </row>
    <row r="185" spans="2:12" ht="13">
      <c r="B185" s="167"/>
      <c r="C185" s="38"/>
      <c r="D185" s="3"/>
      <c r="E185" s="38"/>
      <c r="F185" s="38"/>
      <c r="G185" s="38"/>
      <c r="H185" s="38"/>
      <c r="I185" s="38"/>
      <c r="J185" s="3"/>
      <c r="K185" s="3"/>
      <c r="L185" s="3"/>
    </row>
    <row r="186" spans="2:12" ht="13">
      <c r="B186" s="167"/>
      <c r="C186" s="38"/>
      <c r="D186" s="382"/>
      <c r="E186" s="38"/>
      <c r="F186" s="38"/>
      <c r="G186" s="38"/>
      <c r="H186" s="38"/>
      <c r="I186" s="38"/>
      <c r="J186" s="1"/>
      <c r="K186" s="1"/>
      <c r="L186" s="1"/>
    </row>
    <row r="187" spans="2:12" ht="15.5">
      <c r="B187" s="168"/>
      <c r="C187" s="38"/>
      <c r="D187" s="377"/>
      <c r="E187" s="38"/>
      <c r="F187" s="38"/>
      <c r="G187" s="38"/>
      <c r="H187" s="38"/>
      <c r="I187" s="38"/>
      <c r="J187" s="38"/>
      <c r="K187" s="38"/>
      <c r="L187" s="38"/>
    </row>
    <row r="188" spans="2:12" ht="15.5">
      <c r="B188" s="167"/>
      <c r="C188" s="168"/>
      <c r="D188" s="377"/>
      <c r="E188" s="38"/>
      <c r="F188" s="38"/>
      <c r="G188" s="38"/>
      <c r="H188" s="38"/>
      <c r="I188" s="38"/>
      <c r="J188" s="38"/>
      <c r="K188" s="38"/>
      <c r="L188" s="38"/>
    </row>
    <row r="189" spans="2:12" ht="14">
      <c r="B189" s="167"/>
      <c r="C189" s="38"/>
      <c r="D189" s="377"/>
      <c r="E189" s="38"/>
      <c r="F189" s="38"/>
      <c r="G189" s="38"/>
      <c r="H189" s="38"/>
      <c r="I189" s="38"/>
      <c r="J189" s="182"/>
      <c r="K189" s="182"/>
      <c r="L189" s="182"/>
    </row>
    <row r="190" spans="2:12" ht="13">
      <c r="B190" s="167"/>
      <c r="C190" s="38"/>
      <c r="D190" s="377"/>
      <c r="E190" s="38"/>
      <c r="F190" s="38"/>
      <c r="G190" s="38"/>
      <c r="H190" s="38"/>
      <c r="I190" s="38"/>
      <c r="J190" s="284"/>
      <c r="K190" s="284"/>
      <c r="L190" s="284"/>
    </row>
    <row r="191" spans="2:12" ht="14">
      <c r="B191" s="167"/>
      <c r="C191" s="167"/>
      <c r="D191" s="377"/>
      <c r="E191" s="38"/>
      <c r="F191" s="38"/>
      <c r="G191" s="38"/>
      <c r="H191" s="38"/>
      <c r="I191" s="38"/>
      <c r="J191" s="182"/>
      <c r="K191" s="182"/>
      <c r="L191" s="182"/>
    </row>
    <row r="192" spans="2:12">
      <c r="B192" s="177"/>
      <c r="C192" s="383"/>
      <c r="D192" s="377"/>
      <c r="E192" s="38"/>
      <c r="F192" s="38"/>
      <c r="G192" s="38"/>
      <c r="H192" s="38"/>
      <c r="I192" s="38"/>
      <c r="J192" s="38"/>
      <c r="K192" s="38"/>
      <c r="L192" s="38"/>
    </row>
    <row r="193" spans="2:12" ht="18">
      <c r="B193" s="168"/>
      <c r="C193" s="171"/>
      <c r="D193" s="377"/>
      <c r="E193" s="38"/>
      <c r="F193" s="38"/>
      <c r="G193" s="38"/>
      <c r="H193" s="38"/>
      <c r="I193" s="38"/>
      <c r="J193" s="38"/>
      <c r="K193" s="38"/>
      <c r="L193" s="38"/>
    </row>
    <row r="194" spans="2:12" ht="14">
      <c r="B194" s="167"/>
      <c r="C194" s="178"/>
      <c r="D194" s="377"/>
      <c r="E194" s="38"/>
      <c r="F194" s="38"/>
      <c r="G194" s="38"/>
      <c r="H194" s="38"/>
      <c r="I194" s="38"/>
      <c r="J194" s="377"/>
      <c r="K194" s="377"/>
      <c r="L194" s="377"/>
    </row>
    <row r="195" spans="2:12" ht="13">
      <c r="B195" s="167"/>
      <c r="C195" s="38"/>
      <c r="D195" s="3"/>
      <c r="E195" s="38"/>
      <c r="F195" s="38"/>
      <c r="G195" s="38"/>
      <c r="H195" s="38"/>
      <c r="I195" s="38"/>
      <c r="J195" s="3"/>
      <c r="K195" s="3"/>
      <c r="L195" s="3"/>
    </row>
    <row r="196" spans="2:12" ht="13">
      <c r="B196" s="167"/>
      <c r="C196" s="38"/>
      <c r="D196" s="382"/>
      <c r="E196" s="38"/>
      <c r="F196" s="38"/>
      <c r="G196" s="38"/>
      <c r="H196" s="38"/>
      <c r="I196" s="38"/>
      <c r="J196" s="1"/>
      <c r="K196" s="1"/>
      <c r="L196" s="1"/>
    </row>
    <row r="197" spans="2:12" ht="13">
      <c r="B197" s="167"/>
      <c r="C197" s="38"/>
      <c r="D197" s="382"/>
      <c r="E197" s="38"/>
      <c r="F197" s="38"/>
      <c r="G197" s="38"/>
      <c r="H197" s="38"/>
      <c r="I197" s="38"/>
      <c r="J197" s="1"/>
      <c r="K197" s="1"/>
      <c r="L197" s="1"/>
    </row>
    <row r="198" spans="2:12" ht="15.5">
      <c r="B198" s="167"/>
      <c r="C198" s="168"/>
      <c r="D198" s="376"/>
      <c r="E198" s="38"/>
      <c r="F198" s="38"/>
      <c r="G198" s="38"/>
      <c r="H198" s="38"/>
      <c r="I198" s="38"/>
      <c r="J198" s="38"/>
      <c r="K198" s="38"/>
      <c r="L198" s="38"/>
    </row>
    <row r="199" spans="2:12" ht="13">
      <c r="B199" s="167"/>
      <c r="C199" s="38"/>
      <c r="D199" s="3"/>
      <c r="E199" s="38"/>
      <c r="F199" s="38"/>
      <c r="G199" s="38"/>
      <c r="H199" s="38"/>
      <c r="I199" s="38"/>
      <c r="J199" s="167"/>
      <c r="K199" s="167"/>
      <c r="L199" s="167"/>
    </row>
    <row r="200" spans="2:12" ht="13">
      <c r="B200" s="167"/>
      <c r="C200" s="38"/>
      <c r="D200" s="384"/>
      <c r="E200" s="38"/>
      <c r="F200" s="38"/>
      <c r="G200" s="38"/>
      <c r="H200" s="38"/>
      <c r="I200" s="38"/>
      <c r="J200" s="38"/>
      <c r="K200" s="38"/>
      <c r="L200" s="38"/>
    </row>
    <row r="201" spans="2:12" ht="13">
      <c r="B201" s="167"/>
      <c r="C201" s="38"/>
      <c r="D201" s="3"/>
      <c r="E201" s="38"/>
      <c r="F201" s="38"/>
      <c r="G201" s="38"/>
      <c r="H201" s="38"/>
      <c r="I201" s="38"/>
      <c r="J201" s="167"/>
      <c r="K201" s="167"/>
      <c r="L201" s="167"/>
    </row>
    <row r="202" spans="2:12" ht="13">
      <c r="B202" s="167"/>
      <c r="C202" s="38"/>
      <c r="D202" s="384"/>
      <c r="E202" s="38"/>
      <c r="F202" s="38"/>
      <c r="G202" s="38"/>
      <c r="H202" s="38"/>
      <c r="I202" s="38"/>
      <c r="J202" s="38"/>
      <c r="K202" s="38"/>
      <c r="L202" s="38"/>
    </row>
    <row r="203" spans="2:12" ht="13">
      <c r="B203" s="167"/>
      <c r="C203" s="183"/>
      <c r="D203" s="384"/>
      <c r="E203" s="38"/>
      <c r="F203" s="38"/>
      <c r="G203" s="38"/>
      <c r="H203" s="38"/>
      <c r="I203" s="38"/>
      <c r="J203" s="38"/>
      <c r="K203" s="38"/>
      <c r="L203" s="38"/>
    </row>
    <row r="204" spans="2:12" ht="15.5">
      <c r="B204" s="167"/>
      <c r="C204" s="168"/>
      <c r="D204" s="377"/>
      <c r="E204" s="38"/>
      <c r="F204" s="38"/>
      <c r="G204" s="38"/>
      <c r="H204" s="38"/>
      <c r="I204" s="38"/>
      <c r="J204" s="167"/>
      <c r="K204" s="167"/>
      <c r="L204" s="167"/>
    </row>
    <row r="205" spans="2:12" ht="13">
      <c r="B205" s="167"/>
      <c r="C205" s="38"/>
      <c r="D205" s="377"/>
      <c r="E205" s="38"/>
      <c r="F205" s="38"/>
      <c r="G205" s="38"/>
      <c r="H205" s="38"/>
      <c r="I205" s="38"/>
      <c r="J205" s="284"/>
      <c r="K205" s="284"/>
      <c r="L205" s="284"/>
    </row>
    <row r="206" spans="2:12" ht="13">
      <c r="B206" s="167"/>
      <c r="C206" s="38"/>
      <c r="D206" s="377"/>
      <c r="E206" s="38"/>
      <c r="F206" s="38"/>
      <c r="G206" s="38"/>
      <c r="H206" s="38"/>
      <c r="I206" s="38"/>
      <c r="J206" s="284"/>
      <c r="K206" s="284"/>
      <c r="L206" s="284"/>
    </row>
    <row r="207" spans="2:12" ht="13">
      <c r="B207" s="167"/>
      <c r="C207" s="167"/>
      <c r="D207" s="377"/>
      <c r="E207" s="38"/>
      <c r="F207" s="38"/>
      <c r="G207" s="38"/>
      <c r="H207" s="38"/>
      <c r="I207" s="38"/>
      <c r="J207" s="1"/>
      <c r="K207" s="1"/>
      <c r="L207" s="1"/>
    </row>
    <row r="208" spans="2:12" ht="13">
      <c r="B208" s="167"/>
      <c r="C208" s="38"/>
      <c r="D208" s="377"/>
      <c r="E208" s="38"/>
      <c r="F208" s="38"/>
      <c r="G208" s="38"/>
      <c r="H208" s="38"/>
      <c r="I208" s="38"/>
      <c r="J208" s="38"/>
      <c r="K208" s="38"/>
      <c r="L208" s="38"/>
    </row>
    <row r="209" spans="2:12" ht="15.5">
      <c r="B209" s="168"/>
      <c r="C209" s="38"/>
      <c r="D209" s="377"/>
      <c r="E209" s="38"/>
      <c r="F209" s="38"/>
      <c r="G209" s="38"/>
      <c r="H209" s="38"/>
      <c r="I209" s="38"/>
      <c r="J209" s="38"/>
      <c r="K209" s="38"/>
      <c r="L209" s="38"/>
    </row>
    <row r="210" spans="2:12" ht="15.5">
      <c r="B210" s="167"/>
      <c r="C210" s="168"/>
      <c r="D210" s="377"/>
      <c r="E210" s="38"/>
      <c r="F210" s="38"/>
      <c r="G210" s="38"/>
      <c r="H210" s="38"/>
      <c r="I210" s="38"/>
      <c r="J210" s="38"/>
      <c r="K210" s="38"/>
      <c r="L210" s="38"/>
    </row>
    <row r="211" spans="2:12" ht="13">
      <c r="B211" s="177"/>
      <c r="C211" s="38"/>
      <c r="D211" s="3"/>
      <c r="E211" s="38"/>
      <c r="F211" s="38"/>
      <c r="G211" s="38"/>
      <c r="H211" s="38"/>
      <c r="I211" s="38"/>
      <c r="J211" s="3"/>
      <c r="K211" s="3"/>
      <c r="L211" s="3"/>
    </row>
    <row r="212" spans="2:12" ht="13">
      <c r="B212" s="167"/>
      <c r="C212" s="38"/>
      <c r="D212" s="382"/>
      <c r="E212" s="38"/>
      <c r="F212" s="38"/>
      <c r="G212" s="38"/>
      <c r="H212" s="38"/>
      <c r="I212" s="38"/>
      <c r="J212" s="1"/>
      <c r="K212" s="1"/>
      <c r="L212" s="1"/>
    </row>
    <row r="213" spans="2:12" ht="15.5">
      <c r="B213" s="168"/>
      <c r="C213" s="38"/>
      <c r="D213" s="377"/>
      <c r="E213" s="38"/>
      <c r="F213" s="38"/>
      <c r="G213" s="38"/>
      <c r="H213" s="38"/>
      <c r="I213" s="38"/>
      <c r="J213" s="38"/>
      <c r="K213" s="38"/>
      <c r="L213" s="38"/>
    </row>
    <row r="214" spans="2:12" ht="15.5">
      <c r="B214" s="167"/>
      <c r="C214" s="168"/>
      <c r="D214" s="377"/>
      <c r="E214" s="38"/>
      <c r="F214" s="38"/>
      <c r="G214" s="38"/>
      <c r="H214" s="38"/>
      <c r="I214" s="38"/>
      <c r="J214" s="38"/>
      <c r="K214" s="38"/>
      <c r="L214" s="38"/>
    </row>
    <row r="215" spans="2:12" ht="13">
      <c r="B215" s="167"/>
      <c r="C215" s="167"/>
      <c r="D215" s="377"/>
      <c r="E215" s="38"/>
      <c r="F215" s="38"/>
      <c r="G215" s="38"/>
      <c r="H215" s="38"/>
      <c r="I215" s="38"/>
      <c r="J215" s="1"/>
      <c r="K215" s="1"/>
      <c r="L215" s="1"/>
    </row>
    <row r="216" spans="2:12" ht="13">
      <c r="B216" s="167"/>
      <c r="C216" s="38"/>
      <c r="D216" s="377"/>
      <c r="E216" s="38"/>
      <c r="F216" s="38"/>
      <c r="G216" s="38"/>
      <c r="H216" s="38"/>
      <c r="I216" s="38"/>
      <c r="J216" s="38"/>
      <c r="K216" s="38"/>
      <c r="L216" s="38"/>
    </row>
    <row r="217" spans="2:12" ht="15.5">
      <c r="B217" s="168"/>
      <c r="C217" s="38"/>
      <c r="D217" s="377"/>
      <c r="E217" s="38"/>
      <c r="F217" s="38"/>
      <c r="G217" s="38"/>
      <c r="H217" s="38"/>
      <c r="I217" s="38"/>
      <c r="J217" s="38"/>
      <c r="K217" s="38"/>
      <c r="L217" s="38"/>
    </row>
    <row r="219" spans="2:12" ht="13">
      <c r="B219" s="38"/>
      <c r="C219" s="38"/>
      <c r="D219" s="377"/>
      <c r="E219" s="38"/>
      <c r="F219" s="38"/>
      <c r="G219" s="38"/>
      <c r="H219" s="38"/>
      <c r="I219" s="38"/>
      <c r="J219" s="1"/>
      <c r="K219" s="1"/>
      <c r="L219" s="1"/>
    </row>
    <row r="221" spans="2:12" ht="15.5">
      <c r="B221" s="38"/>
      <c r="C221" s="168"/>
      <c r="D221" s="377"/>
      <c r="E221" s="38"/>
      <c r="F221" s="38"/>
      <c r="G221" s="38"/>
      <c r="H221" s="38"/>
      <c r="I221" s="38"/>
      <c r="J221" s="38"/>
      <c r="K221" s="38"/>
      <c r="L221" s="38"/>
    </row>
    <row r="222" spans="2:12" ht="13">
      <c r="B222" s="38"/>
      <c r="C222" s="167"/>
      <c r="D222" s="377"/>
      <c r="E222" s="38"/>
      <c r="F222" s="38"/>
      <c r="G222" s="38"/>
      <c r="H222" s="38"/>
      <c r="I222" s="38"/>
      <c r="J222" s="167"/>
      <c r="K222" s="167"/>
      <c r="L222" s="167"/>
    </row>
  </sheetData>
  <sheetProtection sheet="1" formatCells="0" formatColumns="0" formatRows="0" insertColumns="0" insertHyperlinks="0" deleteColumns="0" sort="0" autoFilter="0" pivotTables="0"/>
  <phoneticPr fontId="5" type="noConversion"/>
  <dataValidations disablePrompts="1" count="4">
    <dataValidation type="decimal" errorStyle="information" operator="greaterThanOrEqual" allowBlank="1" showInputMessage="1" showErrorMessage="1" error="Beløp skal rapporteres med positivt fortegn" sqref="E6:G6" xr:uid="{00000000-0002-0000-0600-000000000000}">
      <formula1>0</formula1>
    </dataValidation>
    <dataValidation type="decimal" errorStyle="information" operator="lessThanOrEqual" allowBlank="1" showInputMessage="1" showErrorMessage="1" error="Beløp skal rapporteres med negativt fortegn" sqref="E7:G7" xr:uid="{00000000-0002-0000-0600-000001000000}">
      <formula1>0</formula1>
    </dataValidation>
    <dataValidation type="decimal" errorStyle="information" operator="lessThanOrEqual" allowBlank="1" showInputMessage="1" showErrorMessage="1" error="Beløp skal rapporteres med negativt fortegn_x000a_" sqref="E9:G9" xr:uid="{00000000-0002-0000-0600-000002000000}">
      <formula1>0</formula1>
    </dataValidation>
    <dataValidation type="decimal" errorStyle="information" operator="lessThanOrEqual" allowBlank="1" showErrorMessage="1" error="Beløp skal rapporteres med negativt fortegn" prompt="Beløp skal være negativt eller 0" sqref="E12:I12" xr:uid="{00000000-0002-0000-0600-000003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51" fitToHeight="0" orientation="landscape" r:id="rId1"/>
  <headerFooter alignWithMargins="0">
    <oddFooter>&amp;CSide &amp;P</oddFooter>
  </headerFooter>
  <rowBreaks count="1" manualBreakCount="1">
    <brk id="49" max="16383" man="1"/>
  </rowBreaks>
  <ignoredErrors>
    <ignoredError sqref="J6:J7 J16 E16:G16 G21 J21:J22 E5:J5 E8:J8 J9 J10:J13" unlockedFormula="1"/>
    <ignoredError sqref="H22 J17" formula="1"/>
    <ignoredError sqref="J18:J20" formula="1" unlocked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1"/>
  <sheetViews>
    <sheetView zoomScaleNormal="100" workbookViewId="0"/>
  </sheetViews>
  <sheetFormatPr baseColWidth="10" defaultColWidth="11.453125" defaultRowHeight="12.5"/>
  <cols>
    <col min="1" max="1" width="5.90625" customWidth="1"/>
    <col min="3" max="3" width="88.08984375" customWidth="1"/>
    <col min="4" max="4" width="14.453125" customWidth="1"/>
    <col min="5" max="5" width="15.08984375" customWidth="1"/>
    <col min="6" max="6" width="26.36328125" customWidth="1"/>
    <col min="8" max="8" width="11.453125" customWidth="1"/>
    <col min="9" max="9" width="26.36328125" hidden="1" customWidth="1"/>
  </cols>
  <sheetData>
    <row r="1" spans="1:10" s="2" customFormat="1" ht="12.75" customHeight="1">
      <c r="A1" s="39"/>
      <c r="B1" s="112"/>
      <c r="C1" s="385"/>
      <c r="D1" s="335"/>
      <c r="E1" s="335"/>
      <c r="F1" s="279"/>
      <c r="G1" s="386"/>
      <c r="H1" s="38"/>
      <c r="I1" s="279"/>
      <c r="J1" s="38"/>
    </row>
    <row r="2" spans="1:10" s="2" customFormat="1" ht="20.149999999999999" customHeight="1">
      <c r="A2" s="32"/>
      <c r="B2" s="111" t="s">
        <v>496</v>
      </c>
      <c r="C2" s="387"/>
      <c r="D2" s="260"/>
      <c r="E2" s="260"/>
      <c r="F2" s="184"/>
      <c r="G2" s="257"/>
      <c r="H2" s="38"/>
      <c r="I2" s="184" t="s">
        <v>497</v>
      </c>
      <c r="J2" s="206"/>
    </row>
    <row r="3" spans="1:10" s="2" customFormat="1" ht="12.75" customHeight="1">
      <c r="A3" s="32"/>
      <c r="B3" s="161"/>
      <c r="C3" s="360"/>
      <c r="D3" s="259"/>
      <c r="E3" s="259"/>
      <c r="F3" s="33"/>
      <c r="G3" s="257"/>
      <c r="H3" s="38"/>
      <c r="I3" s="33"/>
      <c r="J3" s="38"/>
    </row>
    <row r="4" spans="1:10" s="62" customFormat="1" ht="24.75" customHeight="1">
      <c r="A4" s="252"/>
      <c r="B4" s="74" t="s">
        <v>498</v>
      </c>
      <c r="C4" s="388" t="s">
        <v>499</v>
      </c>
      <c r="D4" s="254" t="s">
        <v>500</v>
      </c>
      <c r="E4" s="255"/>
      <c r="F4" s="312">
        <v>0</v>
      </c>
      <c r="G4" s="257"/>
      <c r="H4" s="389"/>
      <c r="I4" s="312">
        <f>F4</f>
        <v>0</v>
      </c>
      <c r="J4" s="389"/>
    </row>
    <row r="5" spans="1:10" s="62" customFormat="1" ht="20.149999999999999" customHeight="1">
      <c r="A5" s="252"/>
      <c r="B5" s="61"/>
      <c r="C5" s="388"/>
      <c r="D5" s="254"/>
      <c r="E5" s="255"/>
      <c r="F5" s="254"/>
      <c r="G5" s="257"/>
      <c r="H5" s="389"/>
      <c r="I5" s="254"/>
      <c r="J5" s="389"/>
    </row>
    <row r="6" spans="1:10" s="62" customFormat="1" ht="20.149999999999999" customHeight="1">
      <c r="A6" s="252"/>
      <c r="B6" s="61" t="s">
        <v>501</v>
      </c>
      <c r="C6" s="255" t="s">
        <v>502</v>
      </c>
      <c r="D6" s="254" t="s">
        <v>503</v>
      </c>
      <c r="E6" s="255"/>
      <c r="F6" s="312">
        <v>0</v>
      </c>
      <c r="G6" s="257"/>
      <c r="H6" s="389"/>
      <c r="I6" s="312">
        <f t="shared" ref="I6:I7" si="0">F6</f>
        <v>0</v>
      </c>
      <c r="J6" s="389"/>
    </row>
    <row r="7" spans="1:10" s="62" customFormat="1" ht="20.149999999999999" customHeight="1">
      <c r="A7" s="252"/>
      <c r="B7" s="61" t="s">
        <v>504</v>
      </c>
      <c r="C7" s="255" t="s">
        <v>505</v>
      </c>
      <c r="D7" s="254" t="s">
        <v>506</v>
      </c>
      <c r="E7" s="255"/>
      <c r="F7" s="312">
        <v>0</v>
      </c>
      <c r="G7" s="257"/>
      <c r="H7" s="389"/>
      <c r="I7" s="312">
        <f t="shared" si="0"/>
        <v>0</v>
      </c>
      <c r="J7" s="389"/>
    </row>
    <row r="8" spans="1:10" s="62" customFormat="1" ht="20.149999999999999" customHeight="1">
      <c r="A8" s="252"/>
      <c r="B8" s="61" t="s">
        <v>507</v>
      </c>
      <c r="C8" s="390" t="s">
        <v>508</v>
      </c>
      <c r="D8" s="254" t="s">
        <v>509</v>
      </c>
      <c r="E8" s="255"/>
      <c r="F8" s="262">
        <f>F4+F6+F7</f>
        <v>0</v>
      </c>
      <c r="G8" s="257"/>
      <c r="H8" s="389"/>
      <c r="I8" s="262">
        <f>I4+I6+I7</f>
        <v>0</v>
      </c>
      <c r="J8" s="389"/>
    </row>
    <row r="9" spans="1:10" s="62" customFormat="1" ht="20.149999999999999" customHeight="1">
      <c r="A9" s="252"/>
      <c r="B9" s="61"/>
      <c r="C9" s="390"/>
      <c r="D9" s="254"/>
      <c r="E9" s="255"/>
      <c r="F9" s="254"/>
      <c r="G9" s="257"/>
      <c r="H9" s="389"/>
      <c r="I9" s="254"/>
      <c r="J9" s="389"/>
    </row>
    <row r="10" spans="1:10" s="62" customFormat="1" ht="20.149999999999999" customHeight="1">
      <c r="A10" s="252"/>
      <c r="B10" s="61" t="s">
        <v>510</v>
      </c>
      <c r="C10" s="255" t="s">
        <v>511</v>
      </c>
      <c r="D10" s="254" t="s">
        <v>512</v>
      </c>
      <c r="E10" s="255"/>
      <c r="F10" s="312">
        <v>0</v>
      </c>
      <c r="G10" s="257"/>
      <c r="H10" s="389"/>
      <c r="I10" s="312">
        <f t="shared" ref="I10:I13" si="1">F10</f>
        <v>0</v>
      </c>
      <c r="J10" s="389"/>
    </row>
    <row r="11" spans="1:10" s="62" customFormat="1" ht="20.149999999999999" customHeight="1">
      <c r="A11" s="252"/>
      <c r="B11" s="61" t="s">
        <v>513</v>
      </c>
      <c r="C11" s="255" t="s">
        <v>514</v>
      </c>
      <c r="D11" s="254" t="s">
        <v>515</v>
      </c>
      <c r="E11" s="255"/>
      <c r="F11" s="312">
        <v>0</v>
      </c>
      <c r="G11" s="257"/>
      <c r="H11" s="389"/>
      <c r="I11" s="312">
        <f t="shared" si="1"/>
        <v>0</v>
      </c>
      <c r="J11" s="389"/>
    </row>
    <row r="12" spans="1:10" s="62" customFormat="1" ht="20.149999999999999" customHeight="1">
      <c r="A12" s="252"/>
      <c r="B12" s="61" t="s">
        <v>516</v>
      </c>
      <c r="C12" s="255" t="s">
        <v>517</v>
      </c>
      <c r="D12" s="254" t="s">
        <v>518</v>
      </c>
      <c r="E12" s="255"/>
      <c r="F12" s="312">
        <v>0</v>
      </c>
      <c r="G12" s="257"/>
      <c r="H12" s="389"/>
      <c r="I12" s="312">
        <f t="shared" si="1"/>
        <v>0</v>
      </c>
      <c r="J12" s="389"/>
    </row>
    <row r="13" spans="1:10" s="62" customFormat="1" ht="20.149999999999999" customHeight="1">
      <c r="A13" s="252"/>
      <c r="B13" s="61" t="s">
        <v>519</v>
      </c>
      <c r="C13" s="255" t="s">
        <v>520</v>
      </c>
      <c r="D13" s="254" t="s">
        <v>521</v>
      </c>
      <c r="E13" s="255"/>
      <c r="F13" s="312">
        <v>0</v>
      </c>
      <c r="G13" s="257"/>
      <c r="H13" s="389"/>
      <c r="I13" s="312">
        <f t="shared" si="1"/>
        <v>0</v>
      </c>
      <c r="J13" s="389"/>
    </row>
    <row r="14" spans="1:10" s="62" customFormat="1" ht="20.149999999999999" customHeight="1">
      <c r="A14" s="252"/>
      <c r="B14" s="61"/>
      <c r="C14" s="255"/>
      <c r="D14" s="254"/>
      <c r="E14" s="255"/>
      <c r="F14" s="254"/>
      <c r="G14" s="257"/>
      <c r="H14" s="389"/>
      <c r="I14" s="254"/>
      <c r="J14" s="389"/>
    </row>
    <row r="15" spans="1:10" s="62" customFormat="1" ht="33.75" customHeight="1">
      <c r="A15" s="252"/>
      <c r="B15" s="61" t="s">
        <v>522</v>
      </c>
      <c r="C15" s="391" t="s">
        <v>669</v>
      </c>
      <c r="D15" s="254" t="s">
        <v>523</v>
      </c>
      <c r="E15" s="255"/>
      <c r="F15" s="262">
        <f>('Beste estimat og risikomargin'!J5+F33)-('Beste estimat og risikomargin'!L21+'Beste estimat og risikomargin'!L22)</f>
        <v>0</v>
      </c>
      <c r="G15" s="257"/>
      <c r="H15" s="389"/>
      <c r="I15" s="262">
        <f>('Beste estimat og risikomargin'!J5+I33)-('Beste estimat og risikomargin'!L21+'Beste estimat og risikomargin'!L22)</f>
        <v>0</v>
      </c>
      <c r="J15" s="389"/>
    </row>
    <row r="16" spans="1:10" s="62" customFormat="1" ht="19.5" customHeight="1">
      <c r="A16" s="252"/>
      <c r="B16" s="61" t="s">
        <v>524</v>
      </c>
      <c r="C16" s="250" t="s">
        <v>525</v>
      </c>
      <c r="D16" s="254" t="s">
        <v>526</v>
      </c>
      <c r="E16" s="255"/>
      <c r="F16" s="262">
        <f>MAXA(-8/16*F15,0)</f>
        <v>0</v>
      </c>
      <c r="G16" s="257"/>
      <c r="H16" s="389"/>
      <c r="I16" s="262">
        <v>0</v>
      </c>
      <c r="J16" s="389"/>
    </row>
    <row r="17" spans="1:9" s="62" customFormat="1" ht="20.149999999999999" customHeight="1">
      <c r="A17" s="252"/>
      <c r="B17" s="61"/>
      <c r="C17" s="390"/>
      <c r="D17" s="254"/>
      <c r="E17" s="255"/>
      <c r="F17" s="254"/>
      <c r="G17" s="257"/>
      <c r="H17" s="389"/>
      <c r="I17" s="254"/>
    </row>
    <row r="18" spans="1:9" s="62" customFormat="1" ht="20.149999999999999" customHeight="1">
      <c r="A18" s="252"/>
      <c r="B18" s="61" t="s">
        <v>527</v>
      </c>
      <c r="C18" s="390" t="s">
        <v>528</v>
      </c>
      <c r="D18" s="254" t="s">
        <v>529</v>
      </c>
      <c r="E18" s="255"/>
      <c r="F18" s="312">
        <v>0</v>
      </c>
      <c r="G18" s="257"/>
      <c r="H18" s="389"/>
      <c r="I18" s="312">
        <f t="shared" ref="I18:I21" si="2">F18</f>
        <v>0</v>
      </c>
    </row>
    <row r="19" spans="1:9" s="62" customFormat="1" ht="20.149999999999999" customHeight="1">
      <c r="A19" s="252"/>
      <c r="B19" s="61" t="s">
        <v>530</v>
      </c>
      <c r="C19" s="390" t="s">
        <v>531</v>
      </c>
      <c r="D19" s="254" t="s">
        <v>532</v>
      </c>
      <c r="E19" s="255"/>
      <c r="F19" s="312">
        <v>0</v>
      </c>
      <c r="G19" s="257"/>
      <c r="H19" s="389"/>
      <c r="I19" s="312">
        <f t="shared" si="2"/>
        <v>0</v>
      </c>
    </row>
    <row r="20" spans="1:9" s="62" customFormat="1" ht="20.149999999999999" customHeight="1">
      <c r="A20" s="252"/>
      <c r="B20" s="61" t="s">
        <v>533</v>
      </c>
      <c r="C20" s="390" t="s">
        <v>534</v>
      </c>
      <c r="D20" s="254" t="s">
        <v>535</v>
      </c>
      <c r="E20" s="255"/>
      <c r="F20" s="312">
        <v>0</v>
      </c>
      <c r="G20" s="257"/>
      <c r="H20" s="389"/>
      <c r="I20" s="312">
        <f t="shared" si="2"/>
        <v>0</v>
      </c>
    </row>
    <row r="21" spans="1:9" s="62" customFormat="1" ht="20.149999999999999" customHeight="1">
      <c r="A21" s="252"/>
      <c r="B21" s="61" t="s">
        <v>536</v>
      </c>
      <c r="C21" s="390" t="s">
        <v>537</v>
      </c>
      <c r="D21" s="254" t="s">
        <v>538</v>
      </c>
      <c r="E21" s="255"/>
      <c r="F21" s="312">
        <v>0</v>
      </c>
      <c r="G21" s="257"/>
      <c r="H21" s="389"/>
      <c r="I21" s="312">
        <f t="shared" si="2"/>
        <v>0</v>
      </c>
    </row>
    <row r="22" spans="1:9" s="62" customFormat="1" ht="20.149999999999999" customHeight="1">
      <c r="A22" s="252"/>
      <c r="B22" s="61"/>
      <c r="C22" s="390"/>
      <c r="D22" s="254"/>
      <c r="E22" s="255"/>
      <c r="F22" s="254"/>
      <c r="G22" s="257"/>
      <c r="H22" s="389"/>
      <c r="I22" s="254"/>
    </row>
    <row r="23" spans="1:9" s="62" customFormat="1" ht="20.149999999999999" customHeight="1">
      <c r="A23" s="252"/>
      <c r="B23" s="61" t="s">
        <v>539</v>
      </c>
      <c r="C23" s="390" t="s">
        <v>540</v>
      </c>
      <c r="D23" s="254" t="s">
        <v>541</v>
      </c>
      <c r="E23" s="255"/>
      <c r="F23" s="312">
        <v>0</v>
      </c>
      <c r="G23" s="257"/>
      <c r="H23" s="389"/>
      <c r="I23" s="312">
        <f t="shared" ref="I23:I24" si="3">F23</f>
        <v>0</v>
      </c>
    </row>
    <row r="24" spans="1:9" s="62" customFormat="1" ht="20.149999999999999" customHeight="1">
      <c r="A24" s="252"/>
      <c r="B24" s="61" t="s">
        <v>542</v>
      </c>
      <c r="C24" s="390" t="s">
        <v>543</v>
      </c>
      <c r="D24" s="254" t="s">
        <v>544</v>
      </c>
      <c r="E24" s="255"/>
      <c r="F24" s="312">
        <v>0</v>
      </c>
      <c r="G24" s="257"/>
      <c r="H24" s="389"/>
      <c r="I24" s="312">
        <f t="shared" si="3"/>
        <v>0</v>
      </c>
    </row>
    <row r="25" spans="1:9" s="62" customFormat="1" ht="20.149999999999999" customHeight="1">
      <c r="A25" s="252"/>
      <c r="B25" s="61"/>
      <c r="C25" s="253"/>
      <c r="D25" s="254"/>
      <c r="E25" s="255"/>
      <c r="F25" s="359"/>
      <c r="G25" s="257"/>
      <c r="H25" s="389"/>
      <c r="I25" s="359"/>
    </row>
    <row r="26" spans="1:9" s="62" customFormat="1" ht="20.149999999999999" customHeight="1">
      <c r="A26" s="252"/>
      <c r="B26" s="61" t="s">
        <v>545</v>
      </c>
      <c r="C26" s="390" t="s">
        <v>546</v>
      </c>
      <c r="D26" s="254" t="s">
        <v>547</v>
      </c>
      <c r="E26" s="255"/>
      <c r="F26" s="262">
        <f>F8+F10+F15+F16</f>
        <v>0</v>
      </c>
      <c r="G26" s="257"/>
      <c r="H26" s="389"/>
      <c r="I26" s="262">
        <f>I8+I10+I15+I16</f>
        <v>0</v>
      </c>
    </row>
    <row r="27" spans="1:9" s="62" customFormat="1" ht="20.149999999999999" customHeight="1">
      <c r="A27" s="252"/>
      <c r="B27" s="61" t="s">
        <v>548</v>
      </c>
      <c r="C27" s="250" t="s">
        <v>549</v>
      </c>
      <c r="D27" s="254" t="s">
        <v>550</v>
      </c>
      <c r="E27" s="255"/>
      <c r="F27" s="262">
        <f>F26-F6-F11-MAXA(F12-F13,0)+MINA(F18,(MAXA(0,(F26-F6-F11-MAXA(F12-F13,0))/0.8*0.2)))</f>
        <v>0</v>
      </c>
      <c r="G27" s="257"/>
      <c r="H27" s="389"/>
      <c r="I27" s="262">
        <f>I26-I6-I11-MAXA(I12-I13,0)+MINA(I18,(MAXA(0,(I26-I6-I11-MAXA(I12-I13,0))/0.8*0.2)))</f>
        <v>0</v>
      </c>
    </row>
    <row r="28" spans="1:9" s="62" customFormat="1" ht="20.149999999999999" customHeight="1">
      <c r="A28" s="252"/>
      <c r="B28" s="61" t="s">
        <v>551</v>
      </c>
      <c r="C28" s="250" t="s">
        <v>552</v>
      </c>
      <c r="D28" s="254" t="s">
        <v>553</v>
      </c>
      <c r="E28" s="255"/>
      <c r="F28" s="262">
        <f>F19+F20+F23+F6+(F18-MINA(F18,(MAXA(0,(F26-F6-F11-MAXA(F12-F13,0))/0.8*0.2))))</f>
        <v>0</v>
      </c>
      <c r="G28" s="257"/>
      <c r="H28" s="389"/>
      <c r="I28" s="262">
        <f>I19+I20+I23+I6+(I18-MINA(I18,(MAXA(0,(I26-I6-I11-MAXA(I12-I13,0))/0.8*0.2))))</f>
        <v>0</v>
      </c>
    </row>
    <row r="29" spans="1:9" s="62" customFormat="1" ht="20.149999999999999" customHeight="1">
      <c r="A29" s="252"/>
      <c r="B29" s="61" t="s">
        <v>554</v>
      </c>
      <c r="C29" s="250" t="s">
        <v>555</v>
      </c>
      <c r="D29" s="254" t="s">
        <v>556</v>
      </c>
      <c r="E29" s="255"/>
      <c r="F29" s="262">
        <f>MINA(F28,0.5*SOLVENSKAPITALDEKNING!I33)</f>
        <v>0</v>
      </c>
      <c r="G29" s="257"/>
      <c r="H29" s="389"/>
      <c r="I29" s="262">
        <f>MINA(I28,0.5*SOLVENSKAPITALDEKNING!I33)</f>
        <v>0</v>
      </c>
    </row>
    <row r="30" spans="1:9" s="62" customFormat="1" ht="20.149999999999999" customHeight="1">
      <c r="A30" s="252"/>
      <c r="B30" s="61" t="s">
        <v>557</v>
      </c>
      <c r="C30" s="250" t="s">
        <v>558</v>
      </c>
      <c r="D30" s="254" t="s">
        <v>559</v>
      </c>
      <c r="E30" s="255"/>
      <c r="F30" s="262">
        <f>MINA(MAXA(F12-F13,0)+F21+F24,0.5*SOLVENSKAPITALDEKNING!I33-F29,0.15*SOLVENSKAPITALDEKNING!I33)</f>
        <v>0</v>
      </c>
      <c r="G30" s="257"/>
      <c r="H30" s="389"/>
      <c r="I30" s="262">
        <f>MINA(MAXA(I12-I13,0)+I21+I24,0.5*SOLVENSKAPITALDEKNING!I33-I29,0.15*SOLVENSKAPITALDEKNING!I33)</f>
        <v>0</v>
      </c>
    </row>
    <row r="31" spans="1:9" s="62" customFormat="1" ht="20.149999999999999" customHeight="1">
      <c r="A31" s="252"/>
      <c r="B31" s="61" t="s">
        <v>560</v>
      </c>
      <c r="C31" s="72" t="s">
        <v>561</v>
      </c>
      <c r="D31" s="163" t="s">
        <v>562</v>
      </c>
      <c r="E31" s="255"/>
      <c r="F31" s="244">
        <f>F27+F29+F30</f>
        <v>0</v>
      </c>
      <c r="G31" s="257"/>
      <c r="H31" s="389"/>
      <c r="I31" s="262">
        <f>I27+I29+I30</f>
        <v>0</v>
      </c>
    </row>
    <row r="32" spans="1:9" s="62" customFormat="1" ht="20.149999999999999" customHeight="1">
      <c r="A32" s="252"/>
      <c r="B32" s="61"/>
      <c r="C32" s="253"/>
      <c r="D32" s="254"/>
      <c r="E32" s="255"/>
      <c r="F32" s="359"/>
      <c r="G32" s="257"/>
      <c r="H32" s="389"/>
      <c r="I32" s="359"/>
    </row>
    <row r="33" spans="1:9" s="62" customFormat="1" ht="20.149999999999999" customHeight="1">
      <c r="A33" s="252"/>
      <c r="B33" s="61" t="s">
        <v>563</v>
      </c>
      <c r="C33" s="253" t="s">
        <v>566</v>
      </c>
      <c r="D33" s="254" t="s">
        <v>567</v>
      </c>
      <c r="E33" s="255"/>
      <c r="F33" s="256">
        <v>0</v>
      </c>
      <c r="G33" s="257"/>
      <c r="H33" s="389"/>
      <c r="I33" s="256">
        <f t="shared" ref="I33:I35" si="4">F33</f>
        <v>0</v>
      </c>
    </row>
    <row r="34" spans="1:9" s="62" customFormat="1" ht="20.149999999999999" customHeight="1">
      <c r="A34" s="252"/>
      <c r="B34" s="61" t="s">
        <v>564</v>
      </c>
      <c r="C34" s="253" t="s">
        <v>569</v>
      </c>
      <c r="D34" s="254" t="s">
        <v>570</v>
      </c>
      <c r="E34" s="255"/>
      <c r="F34" s="256">
        <v>0</v>
      </c>
      <c r="G34" s="257"/>
      <c r="H34" s="389"/>
      <c r="I34" s="256">
        <f t="shared" si="4"/>
        <v>0</v>
      </c>
    </row>
    <row r="35" spans="1:9" s="62" customFormat="1" ht="20.149999999999999" customHeight="1">
      <c r="A35" s="252"/>
      <c r="B35" s="61" t="s">
        <v>565</v>
      </c>
      <c r="C35" s="253" t="s">
        <v>572</v>
      </c>
      <c r="D35" s="254" t="s">
        <v>573</v>
      </c>
      <c r="E35" s="255"/>
      <c r="F35" s="392">
        <v>0</v>
      </c>
      <c r="G35" s="257"/>
      <c r="H35" s="389"/>
      <c r="I35" s="392">
        <f t="shared" si="4"/>
        <v>0</v>
      </c>
    </row>
    <row r="36" spans="1:9" s="62" customFormat="1" ht="26.25" customHeight="1">
      <c r="A36" s="252"/>
      <c r="B36" s="61" t="s">
        <v>568</v>
      </c>
      <c r="C36" s="250" t="s">
        <v>575</v>
      </c>
      <c r="D36" s="254" t="s">
        <v>576</v>
      </c>
      <c r="E36" s="250"/>
      <c r="F36" s="393">
        <f>MINA('Beste estimat og risikomargin'!L17,SOLVENSKAPITALDEKNING!I101-SOLVENSKAPITALDEKNING!I87)</f>
        <v>0</v>
      </c>
      <c r="G36" s="257"/>
      <c r="H36" s="389"/>
      <c r="I36" s="393">
        <f>MINA('Beste estimat og risikomargin'!L17,SOLVENSKAPITALDEKNING!I101-SOLVENSKAPITALDEKNING!I87)</f>
        <v>0</v>
      </c>
    </row>
    <row r="37" spans="1:9" s="62" customFormat="1" ht="20.149999999999999" customHeight="1">
      <c r="A37" s="252"/>
      <c r="B37" s="61"/>
      <c r="C37" s="253"/>
      <c r="D37" s="254"/>
      <c r="E37" s="255"/>
      <c r="F37" s="254"/>
      <c r="G37" s="257"/>
      <c r="H37" s="389"/>
      <c r="I37" s="254"/>
    </row>
    <row r="38" spans="1:9" s="62" customFormat="1" ht="20.149999999999999" customHeight="1">
      <c r="A38" s="252"/>
      <c r="B38" s="61" t="s">
        <v>571</v>
      </c>
      <c r="C38" s="162" t="s">
        <v>577</v>
      </c>
      <c r="D38" s="163" t="s">
        <v>578</v>
      </c>
      <c r="E38" s="255"/>
      <c r="F38" s="164">
        <f>F31+F33+F34+F35+F36</f>
        <v>0</v>
      </c>
      <c r="G38" s="257"/>
      <c r="H38" s="389"/>
      <c r="I38" s="164">
        <f>I31+I33+I34+I35+I36</f>
        <v>0</v>
      </c>
    </row>
    <row r="39" spans="1:9" s="62" customFormat="1" ht="20.149999999999999" customHeight="1">
      <c r="A39" s="252"/>
      <c r="B39" s="61"/>
      <c r="C39" s="162"/>
      <c r="D39" s="163"/>
      <c r="E39" s="255"/>
      <c r="F39" s="162"/>
      <c r="G39" s="257"/>
      <c r="H39" s="389"/>
      <c r="I39" s="162"/>
    </row>
    <row r="40" spans="1:9" s="2" customFormat="1" ht="19.5" customHeight="1">
      <c r="A40" s="32"/>
      <c r="B40" s="61" t="s">
        <v>574</v>
      </c>
      <c r="C40" s="162" t="s">
        <v>579</v>
      </c>
      <c r="D40" s="163" t="s">
        <v>580</v>
      </c>
      <c r="E40" s="255"/>
      <c r="F40" s="164">
        <f>I38</f>
        <v>0</v>
      </c>
      <c r="G40" s="257"/>
      <c r="H40" s="38"/>
      <c r="I40" s="162"/>
    </row>
    <row r="41" spans="1:9" s="2" customFormat="1" ht="12.75" customHeight="1">
      <c r="A41" s="43"/>
      <c r="B41" s="111"/>
      <c r="C41" s="184"/>
      <c r="D41" s="165"/>
      <c r="E41" s="260"/>
      <c r="F41" s="387"/>
      <c r="G41" s="375"/>
      <c r="H41" s="38"/>
      <c r="I41" s="387"/>
    </row>
  </sheetData>
  <sheetProtection sheet="1" formatCells="0" formatColumns="0" formatRows="0" insertColumns="0" insertHyperlinks="0" deleteColumns="0" sort="0" autoFilter="0" pivotTables="0"/>
  <pageMargins left="0.7" right="0.7" top="0.75" bottom="0.75" header="0.3" footer="0.3"/>
  <pageSetup paperSize="9" scale="51" orientation="portrait" r:id="rId1"/>
  <ignoredErrors>
    <ignoredError sqref="F36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59"/>
  <sheetViews>
    <sheetView zoomScaleNormal="100" workbookViewId="0"/>
  </sheetViews>
  <sheetFormatPr baseColWidth="10" defaultColWidth="11.453125" defaultRowHeight="12.5"/>
  <cols>
    <col min="1" max="1" width="5.6328125" style="8" customWidth="1"/>
    <col min="2" max="2" width="6.6328125" style="8" customWidth="1"/>
    <col min="3" max="3" width="14.6328125" style="8" customWidth="1"/>
    <col min="4" max="7" width="15.6328125" style="8" customWidth="1"/>
    <col min="8" max="8" width="5.6328125" style="8" customWidth="1"/>
    <col min="9" max="16384" width="11.453125" style="8"/>
  </cols>
  <sheetData>
    <row r="1" spans="1:9">
      <c r="A1" s="5"/>
      <c r="B1" s="6"/>
      <c r="C1" s="6"/>
      <c r="D1" s="6"/>
      <c r="E1" s="6"/>
      <c r="F1" s="6"/>
      <c r="G1" s="6"/>
      <c r="H1" s="7"/>
    </row>
    <row r="2" spans="1:9" ht="15.5">
      <c r="A2" s="9"/>
      <c r="B2" s="185" t="s">
        <v>581</v>
      </c>
      <c r="C2" s="23" t="s">
        <v>582</v>
      </c>
      <c r="D2" s="26"/>
      <c r="E2" s="26"/>
      <c r="F2" s="26"/>
      <c r="G2" s="26"/>
      <c r="H2" s="12"/>
    </row>
    <row r="3" spans="1:9">
      <c r="A3" s="9"/>
      <c r="B3" s="33"/>
      <c r="C3" s="10"/>
      <c r="D3" s="10"/>
      <c r="E3" s="10"/>
      <c r="F3" s="10"/>
      <c r="G3" s="10"/>
      <c r="H3" s="12"/>
    </row>
    <row r="4" spans="1:9" ht="13">
      <c r="A4" s="9"/>
      <c r="B4" s="187" t="s">
        <v>583</v>
      </c>
      <c r="C4" s="30" t="s">
        <v>584</v>
      </c>
      <c r="D4" s="10"/>
      <c r="E4" s="10"/>
      <c r="F4" s="10"/>
      <c r="G4" s="10"/>
      <c r="H4" s="12"/>
    </row>
    <row r="5" spans="1:9" ht="13">
      <c r="A5" s="9"/>
      <c r="B5" s="187"/>
      <c r="C5" s="33" t="s">
        <v>585</v>
      </c>
      <c r="D5" s="10"/>
      <c r="E5" s="10"/>
      <c r="F5" s="10"/>
      <c r="G5" s="10"/>
      <c r="H5" s="12"/>
    </row>
    <row r="6" spans="1:9">
      <c r="A6" s="9"/>
      <c r="B6" s="10"/>
      <c r="C6" s="36" t="s">
        <v>586</v>
      </c>
      <c r="D6" s="188">
        <v>45657</v>
      </c>
      <c r="E6" s="33" t="s">
        <v>587</v>
      </c>
      <c r="F6" s="10"/>
      <c r="G6" s="10"/>
      <c r="H6" s="12"/>
    </row>
    <row r="7" spans="1:9">
      <c r="A7" s="9"/>
      <c r="B7" s="10"/>
      <c r="C7" s="186">
        <v>0</v>
      </c>
      <c r="D7" s="394"/>
      <c r="E7" s="10"/>
      <c r="F7" s="10"/>
      <c r="G7" s="10"/>
      <c r="H7" s="12"/>
    </row>
    <row r="8" spans="1:9">
      <c r="A8" s="9"/>
      <c r="B8" s="10"/>
      <c r="C8" s="186">
        <v>0.25</v>
      </c>
      <c r="D8" s="189">
        <v>4.759E-2</v>
      </c>
      <c r="E8" s="190"/>
      <c r="F8" s="10"/>
      <c r="G8" s="10"/>
      <c r="H8" s="12"/>
    </row>
    <row r="9" spans="1:9">
      <c r="A9" s="9"/>
      <c r="B9" s="10"/>
      <c r="C9" s="186">
        <v>0.5</v>
      </c>
      <c r="D9" s="189">
        <v>4.759E-2</v>
      </c>
      <c r="E9" s="190"/>
      <c r="F9" s="10"/>
      <c r="G9" s="10"/>
      <c r="H9" s="12"/>
    </row>
    <row r="10" spans="1:9">
      <c r="A10" s="9"/>
      <c r="B10" s="10"/>
      <c r="C10" s="186">
        <v>1</v>
      </c>
      <c r="D10" s="189">
        <v>4.759E-2</v>
      </c>
      <c r="E10" s="190"/>
      <c r="F10" s="10"/>
      <c r="G10" s="10"/>
      <c r="H10" s="12"/>
    </row>
    <row r="11" spans="1:9">
      <c r="A11" s="9"/>
      <c r="B11" s="10"/>
      <c r="C11" s="186">
        <v>2</v>
      </c>
      <c r="D11" s="189">
        <v>4.6949999999999999E-2</v>
      </c>
      <c r="E11" s="190"/>
      <c r="F11" s="10"/>
      <c r="G11" s="10"/>
      <c r="H11" s="12"/>
      <c r="I11" s="227"/>
    </row>
    <row r="12" spans="1:9">
      <c r="A12" s="9"/>
      <c r="B12" s="10"/>
      <c r="C12" s="186">
        <v>3</v>
      </c>
      <c r="D12" s="189">
        <v>4.5990000000000003E-2</v>
      </c>
      <c r="E12" s="190"/>
      <c r="F12" s="10"/>
      <c r="G12" s="10"/>
      <c r="H12" s="12"/>
    </row>
    <row r="13" spans="1:9">
      <c r="A13" s="9"/>
      <c r="B13" s="10"/>
      <c r="C13" s="186">
        <v>4</v>
      </c>
      <c r="D13" s="189">
        <v>4.5130000000000003E-2</v>
      </c>
      <c r="E13" s="190"/>
      <c r="F13" s="10"/>
      <c r="G13" s="10"/>
      <c r="H13" s="12"/>
    </row>
    <row r="14" spans="1:9">
      <c r="A14" s="9"/>
      <c r="B14" s="10"/>
      <c r="C14" s="186">
        <v>5</v>
      </c>
      <c r="D14" s="189">
        <v>4.4549999999999999E-2</v>
      </c>
      <c r="E14" s="190"/>
      <c r="F14" s="10"/>
      <c r="G14" s="10"/>
      <c r="H14" s="12"/>
    </row>
    <row r="15" spans="1:9">
      <c r="A15" s="9"/>
      <c r="B15" s="10"/>
      <c r="C15" s="186">
        <v>6</v>
      </c>
      <c r="D15" s="189">
        <v>4.4240000000000002E-2</v>
      </c>
      <c r="E15" s="190"/>
      <c r="F15" s="10"/>
      <c r="G15" s="10"/>
      <c r="H15" s="12"/>
    </row>
    <row r="16" spans="1:9">
      <c r="A16" s="9"/>
      <c r="B16" s="10"/>
      <c r="C16" s="186">
        <v>7</v>
      </c>
      <c r="D16" s="189">
        <v>4.4089999999999997E-2</v>
      </c>
      <c r="E16" s="190"/>
      <c r="F16" s="10"/>
      <c r="G16" s="10"/>
      <c r="H16" s="12"/>
    </row>
    <row r="17" spans="1:8">
      <c r="A17" s="9"/>
      <c r="B17" s="91"/>
      <c r="C17" s="191">
        <v>8</v>
      </c>
      <c r="D17" s="189">
        <v>4.4010000000000001E-2</v>
      </c>
      <c r="E17" s="190"/>
      <c r="F17" s="91"/>
      <c r="G17" s="91"/>
      <c r="H17" s="95"/>
    </row>
    <row r="18" spans="1:8">
      <c r="A18" s="9"/>
      <c r="B18" s="33"/>
      <c r="C18" s="191">
        <v>9</v>
      </c>
      <c r="D18" s="189">
        <v>4.3959999999999999E-2</v>
      </c>
      <c r="E18" s="190"/>
      <c r="F18" s="33"/>
      <c r="G18" s="33"/>
      <c r="H18" s="37"/>
    </row>
    <row r="19" spans="1:8">
      <c r="A19" s="9"/>
      <c r="B19" s="33"/>
      <c r="C19" s="191">
        <v>10</v>
      </c>
      <c r="D19" s="189">
        <v>4.3889999999999998E-2</v>
      </c>
      <c r="E19" s="190"/>
      <c r="F19" s="33"/>
      <c r="G19" s="33"/>
      <c r="H19" s="37"/>
    </row>
    <row r="20" spans="1:8">
      <c r="A20" s="9"/>
      <c r="B20" s="33"/>
      <c r="C20" s="191">
        <v>11</v>
      </c>
      <c r="D20" s="189">
        <v>4.3770000000000003E-2</v>
      </c>
      <c r="E20" s="190"/>
      <c r="F20" s="33"/>
      <c r="G20" s="33"/>
      <c r="H20" s="37"/>
    </row>
    <row r="21" spans="1:8">
      <c r="A21" s="9"/>
      <c r="B21" s="33"/>
      <c r="C21" s="191">
        <v>12</v>
      </c>
      <c r="D21" s="189">
        <v>4.3610000000000003E-2</v>
      </c>
      <c r="E21" s="190"/>
      <c r="F21" s="33"/>
      <c r="G21" s="33"/>
      <c r="H21" s="37"/>
    </row>
    <row r="22" spans="1:8">
      <c r="A22" s="9"/>
      <c r="B22" s="33"/>
      <c r="C22" s="191">
        <v>13</v>
      </c>
      <c r="D22" s="189">
        <v>4.3409999999999997E-2</v>
      </c>
      <c r="E22" s="190"/>
      <c r="F22" s="33"/>
      <c r="G22" s="33"/>
      <c r="H22" s="37"/>
    </row>
    <row r="23" spans="1:8">
      <c r="A23" s="9"/>
      <c r="B23" s="33"/>
      <c r="C23" s="191">
        <v>14</v>
      </c>
      <c r="D23" s="189">
        <v>4.3200000000000002E-2</v>
      </c>
      <c r="E23" s="190"/>
      <c r="F23" s="33"/>
      <c r="G23" s="33"/>
      <c r="H23" s="37"/>
    </row>
    <row r="24" spans="1:8">
      <c r="A24" s="9"/>
      <c r="B24" s="33"/>
      <c r="C24" s="191">
        <v>15</v>
      </c>
      <c r="D24" s="189">
        <v>4.2970000000000001E-2</v>
      </c>
      <c r="E24" s="190"/>
      <c r="F24" s="33"/>
      <c r="G24" s="33"/>
      <c r="H24" s="37"/>
    </row>
    <row r="25" spans="1:8">
      <c r="A25" s="9"/>
      <c r="B25" s="33"/>
      <c r="C25" s="191">
        <v>16</v>
      </c>
      <c r="D25" s="189">
        <v>4.274E-2</v>
      </c>
      <c r="E25" s="190"/>
      <c r="F25" s="33"/>
      <c r="G25" s="33"/>
      <c r="H25" s="37"/>
    </row>
    <row r="26" spans="1:8">
      <c r="A26" s="9"/>
      <c r="B26" s="33"/>
      <c r="C26" s="191">
        <v>17</v>
      </c>
      <c r="D26" s="189">
        <v>4.2500000000000003E-2</v>
      </c>
      <c r="E26" s="190"/>
      <c r="F26" s="33"/>
      <c r="G26" s="33"/>
      <c r="H26" s="37"/>
    </row>
    <row r="27" spans="1:8">
      <c r="A27" s="9"/>
      <c r="B27" s="33"/>
      <c r="C27" s="191">
        <v>18</v>
      </c>
      <c r="D27" s="189">
        <v>4.2259999999999999E-2</v>
      </c>
      <c r="E27" s="190"/>
      <c r="F27" s="33"/>
      <c r="G27" s="33"/>
      <c r="H27" s="37"/>
    </row>
    <row r="28" spans="1:8">
      <c r="A28" s="9"/>
      <c r="B28" s="33"/>
      <c r="C28" s="191">
        <v>19</v>
      </c>
      <c r="D28" s="189">
        <v>4.2029999999999998E-2</v>
      </c>
      <c r="E28" s="190"/>
      <c r="F28" s="33"/>
      <c r="G28" s="33"/>
      <c r="H28" s="37"/>
    </row>
    <row r="29" spans="1:8">
      <c r="A29" s="9"/>
      <c r="B29" s="33"/>
      <c r="C29" s="191">
        <v>20</v>
      </c>
      <c r="D29" s="189">
        <v>4.1790000000000001E-2</v>
      </c>
      <c r="E29" s="190"/>
      <c r="F29" s="33"/>
      <c r="G29" s="33"/>
      <c r="H29" s="37"/>
    </row>
    <row r="30" spans="1:8">
      <c r="A30" s="9"/>
      <c r="B30" s="33"/>
      <c r="C30" s="191">
        <v>21</v>
      </c>
      <c r="D30" s="189">
        <v>4.156E-2</v>
      </c>
      <c r="E30" s="190"/>
      <c r="F30" s="33"/>
      <c r="G30" s="33"/>
      <c r="H30" s="37"/>
    </row>
    <row r="31" spans="1:8">
      <c r="A31" s="9"/>
      <c r="B31" s="33"/>
      <c r="C31" s="191">
        <v>22</v>
      </c>
      <c r="D31" s="189">
        <v>4.1340000000000002E-2</v>
      </c>
      <c r="E31" s="190"/>
      <c r="F31" s="33"/>
      <c r="G31" s="33"/>
      <c r="H31" s="37"/>
    </row>
    <row r="32" spans="1:8">
      <c r="A32" s="9"/>
      <c r="B32" s="33"/>
      <c r="C32" s="191">
        <v>23</v>
      </c>
      <c r="D32" s="189">
        <v>4.1119999999999997E-2</v>
      </c>
      <c r="E32" s="190"/>
      <c r="F32" s="33"/>
      <c r="G32" s="33"/>
      <c r="H32" s="37"/>
    </row>
    <row r="33" spans="1:8">
      <c r="A33" s="9"/>
      <c r="B33" s="33"/>
      <c r="C33" s="191">
        <v>24</v>
      </c>
      <c r="D33" s="189">
        <v>4.0910000000000002E-2</v>
      </c>
      <c r="E33" s="190"/>
      <c r="F33" s="33"/>
      <c r="G33" s="33"/>
      <c r="H33" s="37"/>
    </row>
    <row r="34" spans="1:8">
      <c r="A34" s="9"/>
      <c r="B34" s="33"/>
      <c r="C34" s="191">
        <v>25</v>
      </c>
      <c r="D34" s="189">
        <v>4.0710000000000003E-2</v>
      </c>
      <c r="E34" s="190"/>
      <c r="F34" s="33"/>
      <c r="G34" s="33"/>
      <c r="H34" s="37"/>
    </row>
    <row r="35" spans="1:8">
      <c r="A35" s="9"/>
      <c r="B35" s="33"/>
      <c r="C35" s="191">
        <v>26</v>
      </c>
      <c r="D35" s="189">
        <v>4.0509999999999997E-2</v>
      </c>
      <c r="E35" s="190"/>
      <c r="F35" s="33"/>
      <c r="G35" s="33"/>
      <c r="H35" s="37"/>
    </row>
    <row r="36" spans="1:8">
      <c r="A36" s="9"/>
      <c r="B36" s="33"/>
      <c r="C36" s="191">
        <v>27</v>
      </c>
      <c r="D36" s="189">
        <v>4.0309999999999999E-2</v>
      </c>
      <c r="E36" s="190"/>
      <c r="F36" s="33"/>
      <c r="G36" s="33"/>
      <c r="H36" s="37"/>
    </row>
    <row r="37" spans="1:8">
      <c r="A37" s="9"/>
      <c r="B37" s="33"/>
      <c r="C37" s="191">
        <v>28</v>
      </c>
      <c r="D37" s="189">
        <v>4.0129999999999999E-2</v>
      </c>
      <c r="E37" s="190"/>
      <c r="F37" s="33"/>
      <c r="G37" s="33"/>
      <c r="H37" s="37"/>
    </row>
    <row r="38" spans="1:8">
      <c r="A38" s="9"/>
      <c r="B38" s="33"/>
      <c r="C38" s="191">
        <v>29</v>
      </c>
      <c r="D38" s="189">
        <v>3.9949999999999999E-2</v>
      </c>
      <c r="E38" s="190"/>
      <c r="F38" s="33"/>
      <c r="G38" s="33"/>
      <c r="H38" s="37"/>
    </row>
    <row r="39" spans="1:8">
      <c r="A39" s="9"/>
      <c r="B39" s="33"/>
      <c r="C39" s="191">
        <v>30</v>
      </c>
      <c r="D39" s="189">
        <v>3.977E-2</v>
      </c>
      <c r="E39" s="190"/>
      <c r="F39" s="33"/>
      <c r="G39" s="33"/>
      <c r="H39" s="37"/>
    </row>
    <row r="40" spans="1:8">
      <c r="A40" s="9"/>
      <c r="B40" s="33"/>
      <c r="C40" s="191">
        <v>31</v>
      </c>
      <c r="D40" s="189">
        <v>3.9609999999999999E-2</v>
      </c>
      <c r="E40" s="190"/>
      <c r="F40" s="33"/>
      <c r="G40" s="33"/>
      <c r="H40" s="37"/>
    </row>
    <row r="41" spans="1:8">
      <c r="A41" s="9"/>
      <c r="B41" s="33"/>
      <c r="C41" s="191">
        <v>32</v>
      </c>
      <c r="D41" s="189">
        <v>3.9449999999999999E-2</v>
      </c>
      <c r="E41" s="190"/>
      <c r="F41" s="33"/>
      <c r="G41" s="33"/>
      <c r="H41" s="37"/>
    </row>
    <row r="42" spans="1:8">
      <c r="A42" s="9"/>
      <c r="B42" s="33"/>
      <c r="C42" s="191">
        <v>33</v>
      </c>
      <c r="D42" s="189">
        <v>3.9289999999999999E-2</v>
      </c>
      <c r="E42" s="190"/>
      <c r="F42" s="33"/>
      <c r="G42" s="33"/>
      <c r="H42" s="37"/>
    </row>
    <row r="43" spans="1:8">
      <c r="A43" s="9"/>
      <c r="B43" s="33"/>
      <c r="C43" s="191">
        <v>34</v>
      </c>
      <c r="D43" s="189">
        <v>3.9140000000000001E-2</v>
      </c>
      <c r="E43" s="190"/>
      <c r="F43" s="33"/>
      <c r="G43" s="33"/>
      <c r="H43" s="37"/>
    </row>
    <row r="44" spans="1:8">
      <c r="A44" s="9"/>
      <c r="B44" s="33"/>
      <c r="C44" s="191">
        <v>35</v>
      </c>
      <c r="D44" s="189">
        <v>3.9E-2</v>
      </c>
      <c r="E44" s="190"/>
      <c r="F44" s="33"/>
      <c r="G44" s="33"/>
      <c r="H44" s="37"/>
    </row>
    <row r="45" spans="1:8">
      <c r="A45" s="9"/>
      <c r="B45" s="33"/>
      <c r="C45" s="191">
        <v>36</v>
      </c>
      <c r="D45" s="189">
        <v>3.8859999999999999E-2</v>
      </c>
      <c r="E45" s="190"/>
      <c r="F45" s="33"/>
      <c r="G45" s="33"/>
      <c r="H45" s="37"/>
    </row>
    <row r="46" spans="1:8">
      <c r="A46" s="9"/>
      <c r="B46" s="33"/>
      <c r="C46" s="191">
        <v>37</v>
      </c>
      <c r="D46" s="189">
        <v>3.8719999999999997E-2</v>
      </c>
      <c r="E46" s="190"/>
      <c r="F46" s="33"/>
      <c r="G46" s="33"/>
      <c r="H46" s="37"/>
    </row>
    <row r="47" spans="1:8">
      <c r="A47" s="9"/>
      <c r="B47" s="33"/>
      <c r="C47" s="191">
        <v>38</v>
      </c>
      <c r="D47" s="189">
        <v>3.8600000000000002E-2</v>
      </c>
      <c r="E47" s="190"/>
      <c r="F47" s="33"/>
      <c r="G47" s="33"/>
      <c r="H47" s="37"/>
    </row>
    <row r="48" spans="1:8">
      <c r="A48" s="9"/>
      <c r="B48" s="33"/>
      <c r="C48" s="191">
        <v>39</v>
      </c>
      <c r="D48" s="189">
        <v>3.8469999999999997E-2</v>
      </c>
      <c r="E48" s="190"/>
      <c r="F48" s="33"/>
      <c r="G48" s="33"/>
      <c r="H48" s="37"/>
    </row>
    <row r="49" spans="1:8">
      <c r="A49" s="9"/>
      <c r="B49" s="33"/>
      <c r="C49" s="191">
        <v>40</v>
      </c>
      <c r="D49" s="189">
        <v>3.8350000000000002E-2</v>
      </c>
      <c r="E49" s="190"/>
      <c r="F49" s="33"/>
      <c r="G49" s="33"/>
      <c r="H49" s="37"/>
    </row>
    <row r="50" spans="1:8">
      <c r="A50" s="9"/>
      <c r="B50" s="33"/>
      <c r="C50" s="191">
        <v>41</v>
      </c>
      <c r="D50" s="189">
        <v>3.8240000000000003E-2</v>
      </c>
      <c r="E50" s="190"/>
      <c r="F50" s="33"/>
      <c r="G50" s="33"/>
      <c r="H50" s="37"/>
    </row>
    <row r="51" spans="1:8">
      <c r="A51" s="9"/>
      <c r="B51" s="33"/>
      <c r="C51" s="191">
        <v>42</v>
      </c>
      <c r="D51" s="189">
        <v>3.8129999999999997E-2</v>
      </c>
      <c r="E51" s="190"/>
      <c r="F51" s="33"/>
      <c r="G51" s="33"/>
      <c r="H51" s="37"/>
    </row>
    <row r="52" spans="1:8">
      <c r="A52" s="9"/>
      <c r="B52" s="33"/>
      <c r="C52" s="191">
        <v>43</v>
      </c>
      <c r="D52" s="189">
        <v>3.8019999999999998E-2</v>
      </c>
      <c r="E52" s="190"/>
      <c r="F52" s="33"/>
      <c r="G52" s="33"/>
      <c r="H52" s="37"/>
    </row>
    <row r="53" spans="1:8">
      <c r="A53" s="9"/>
      <c r="B53" s="33"/>
      <c r="C53" s="191">
        <v>44</v>
      </c>
      <c r="D53" s="189">
        <v>3.7920000000000002E-2</v>
      </c>
      <c r="E53" s="190"/>
      <c r="F53" s="33"/>
      <c r="G53" s="33"/>
      <c r="H53" s="37"/>
    </row>
    <row r="54" spans="1:8">
      <c r="A54" s="9"/>
      <c r="B54" s="33"/>
      <c r="C54" s="191">
        <v>45</v>
      </c>
      <c r="D54" s="189">
        <v>3.7819999999999999E-2</v>
      </c>
      <c r="E54" s="190"/>
      <c r="F54" s="33"/>
      <c r="G54" s="33"/>
      <c r="H54" s="37"/>
    </row>
    <row r="55" spans="1:8">
      <c r="A55" s="9"/>
      <c r="B55" s="33"/>
      <c r="C55" s="191">
        <v>46</v>
      </c>
      <c r="D55" s="189">
        <v>3.7719999999999997E-2</v>
      </c>
      <c r="E55" s="190"/>
      <c r="F55" s="33"/>
      <c r="G55" s="33"/>
      <c r="H55" s="37"/>
    </row>
    <row r="56" spans="1:8">
      <c r="A56" s="9"/>
      <c r="B56" s="33"/>
      <c r="C56" s="191">
        <v>47</v>
      </c>
      <c r="D56" s="189">
        <v>3.7629999999999997E-2</v>
      </c>
      <c r="E56" s="190"/>
      <c r="F56" s="33"/>
      <c r="G56" s="33"/>
      <c r="H56" s="37"/>
    </row>
    <row r="57" spans="1:8">
      <c r="A57" s="9"/>
      <c r="B57" s="33"/>
      <c r="C57" s="191">
        <v>48</v>
      </c>
      <c r="D57" s="189">
        <v>3.7539999999999997E-2</v>
      </c>
      <c r="E57" s="190"/>
      <c r="F57" s="33"/>
      <c r="G57" s="33"/>
      <c r="H57" s="37"/>
    </row>
    <row r="58" spans="1:8">
      <c r="A58" s="9"/>
      <c r="B58" s="33"/>
      <c r="C58" s="191">
        <v>49</v>
      </c>
      <c r="D58" s="189">
        <v>3.7449999999999997E-2</v>
      </c>
      <c r="E58" s="190"/>
      <c r="F58" s="33"/>
      <c r="G58" s="33"/>
      <c r="H58" s="37"/>
    </row>
    <row r="59" spans="1:8">
      <c r="A59" s="9"/>
      <c r="B59" s="33"/>
      <c r="C59" s="191">
        <v>50</v>
      </c>
      <c r="D59" s="189">
        <v>3.737E-2</v>
      </c>
      <c r="E59" s="190"/>
      <c r="F59" s="33"/>
      <c r="G59" s="33"/>
      <c r="H59" s="37"/>
    </row>
    <row r="60" spans="1:8">
      <c r="A60" s="9"/>
      <c r="B60" s="33"/>
      <c r="C60" s="191">
        <v>51</v>
      </c>
      <c r="D60" s="189">
        <v>3.7289999999999997E-2</v>
      </c>
      <c r="E60" s="190"/>
      <c r="F60" s="33"/>
      <c r="G60" s="33"/>
      <c r="H60" s="37"/>
    </row>
    <row r="61" spans="1:8">
      <c r="A61" s="9"/>
      <c r="B61" s="33"/>
      <c r="C61" s="191">
        <v>52</v>
      </c>
      <c r="D61" s="189">
        <v>3.721E-2</v>
      </c>
      <c r="E61" s="190"/>
      <c r="F61" s="33"/>
      <c r="G61" s="33"/>
      <c r="H61" s="37"/>
    </row>
    <row r="62" spans="1:8">
      <c r="A62" s="9"/>
      <c r="B62" s="33"/>
      <c r="C62" s="191">
        <v>53</v>
      </c>
      <c r="D62" s="189">
        <v>3.7130000000000003E-2</v>
      </c>
      <c r="E62" s="190"/>
      <c r="F62" s="33"/>
      <c r="G62" s="33"/>
      <c r="H62" s="37"/>
    </row>
    <row r="63" spans="1:8">
      <c r="A63" s="9"/>
      <c r="B63" s="33"/>
      <c r="C63" s="191">
        <v>54</v>
      </c>
      <c r="D63" s="189">
        <v>3.7060000000000003E-2</v>
      </c>
      <c r="E63" s="190"/>
      <c r="F63" s="33"/>
      <c r="G63" s="33"/>
      <c r="H63" s="37"/>
    </row>
    <row r="64" spans="1:8">
      <c r="A64" s="9"/>
      <c r="B64" s="33"/>
      <c r="C64" s="191">
        <v>55</v>
      </c>
      <c r="D64" s="189">
        <v>3.6990000000000002E-2</v>
      </c>
      <c r="E64" s="190"/>
      <c r="F64" s="33"/>
      <c r="G64" s="33"/>
      <c r="H64" s="37"/>
    </row>
    <row r="65" spans="1:8">
      <c r="A65" s="9"/>
      <c r="B65" s="33"/>
      <c r="C65" s="191">
        <v>56</v>
      </c>
      <c r="D65" s="189">
        <v>3.6920000000000001E-2</v>
      </c>
      <c r="E65" s="190"/>
      <c r="F65" s="33"/>
      <c r="G65" s="33"/>
      <c r="H65" s="37"/>
    </row>
    <row r="66" spans="1:8">
      <c r="A66" s="9"/>
      <c r="B66" s="33"/>
      <c r="C66" s="191">
        <v>57</v>
      </c>
      <c r="D66" s="189">
        <v>3.6850000000000001E-2</v>
      </c>
      <c r="E66" s="190"/>
      <c r="F66" s="33"/>
      <c r="G66" s="33"/>
      <c r="H66" s="37"/>
    </row>
    <row r="67" spans="1:8">
      <c r="A67" s="9"/>
      <c r="B67" s="33"/>
      <c r="C67" s="191">
        <v>58</v>
      </c>
      <c r="D67" s="189">
        <v>3.6790000000000003E-2</v>
      </c>
      <c r="E67" s="190"/>
      <c r="F67" s="33"/>
      <c r="G67" s="33"/>
      <c r="H67" s="37"/>
    </row>
    <row r="68" spans="1:8">
      <c r="A68" s="9"/>
      <c r="B68" s="33"/>
      <c r="C68" s="191">
        <v>59</v>
      </c>
      <c r="D68" s="189">
        <v>3.6729999999999999E-2</v>
      </c>
      <c r="E68" s="190"/>
      <c r="F68" s="33"/>
      <c r="G68" s="33"/>
      <c r="H68" s="37"/>
    </row>
    <row r="69" spans="1:8">
      <c r="A69" s="9"/>
      <c r="B69" s="33"/>
      <c r="C69" s="191">
        <v>60</v>
      </c>
      <c r="D69" s="189">
        <v>3.6670000000000001E-2</v>
      </c>
      <c r="E69" s="190"/>
      <c r="F69" s="33"/>
      <c r="G69" s="33"/>
      <c r="H69" s="37"/>
    </row>
    <row r="70" spans="1:8">
      <c r="A70" s="9"/>
      <c r="B70" s="33"/>
      <c r="C70" s="191">
        <v>61</v>
      </c>
      <c r="D70" s="189">
        <v>3.6609999999999997E-2</v>
      </c>
      <c r="E70" s="190"/>
      <c r="F70" s="33"/>
      <c r="G70" s="33"/>
      <c r="H70" s="37"/>
    </row>
    <row r="71" spans="1:8">
      <c r="A71" s="9"/>
      <c r="B71" s="33"/>
      <c r="C71" s="191">
        <v>62</v>
      </c>
      <c r="D71" s="189">
        <v>3.6549999999999999E-2</v>
      </c>
      <c r="E71" s="190"/>
      <c r="F71" s="33"/>
      <c r="G71" s="33"/>
      <c r="H71" s="37"/>
    </row>
    <row r="72" spans="1:8">
      <c r="A72" s="9"/>
      <c r="B72" s="33"/>
      <c r="C72" s="191">
        <v>63</v>
      </c>
      <c r="D72" s="189">
        <v>3.6499999999999998E-2</v>
      </c>
      <c r="E72" s="190"/>
      <c r="F72" s="33"/>
      <c r="G72" s="33"/>
      <c r="H72" s="37"/>
    </row>
    <row r="73" spans="1:8">
      <c r="A73" s="9"/>
      <c r="B73" s="33"/>
      <c r="C73" s="191">
        <v>64</v>
      </c>
      <c r="D73" s="189">
        <v>3.644E-2</v>
      </c>
      <c r="E73" s="190"/>
      <c r="F73" s="33"/>
      <c r="G73" s="33"/>
      <c r="H73" s="37"/>
    </row>
    <row r="74" spans="1:8">
      <c r="A74" s="9"/>
      <c r="B74" s="33"/>
      <c r="C74" s="191">
        <v>65</v>
      </c>
      <c r="D74" s="189">
        <v>3.6389999999999999E-2</v>
      </c>
      <c r="E74" s="190"/>
      <c r="F74" s="33"/>
      <c r="G74" s="33"/>
      <c r="H74" s="37"/>
    </row>
    <row r="75" spans="1:8">
      <c r="A75" s="9"/>
      <c r="B75" s="33"/>
      <c r="C75" s="191">
        <v>66</v>
      </c>
      <c r="D75" s="189">
        <v>3.6339999999999997E-2</v>
      </c>
      <c r="E75" s="190"/>
      <c r="F75" s="33"/>
      <c r="G75" s="33"/>
      <c r="H75" s="37"/>
    </row>
    <row r="76" spans="1:8">
      <c r="A76" s="9"/>
      <c r="B76" s="33"/>
      <c r="C76" s="191">
        <v>67</v>
      </c>
      <c r="D76" s="189">
        <v>3.6290000000000003E-2</v>
      </c>
      <c r="E76" s="190"/>
      <c r="F76" s="33"/>
      <c r="G76" s="33"/>
      <c r="H76" s="37"/>
    </row>
    <row r="77" spans="1:8">
      <c r="A77" s="9"/>
      <c r="B77" s="33"/>
      <c r="C77" s="191">
        <v>68</v>
      </c>
      <c r="D77" s="189">
        <v>3.6240000000000001E-2</v>
      </c>
      <c r="E77" s="190"/>
      <c r="F77" s="33"/>
      <c r="G77" s="33"/>
      <c r="H77" s="37"/>
    </row>
    <row r="78" spans="1:8">
      <c r="A78" s="9"/>
      <c r="B78" s="33"/>
      <c r="C78" s="191">
        <v>69</v>
      </c>
      <c r="D78" s="189">
        <v>3.6200000000000003E-2</v>
      </c>
      <c r="E78" s="190"/>
      <c r="F78" s="33"/>
      <c r="G78" s="33"/>
      <c r="H78" s="37"/>
    </row>
    <row r="79" spans="1:8">
      <c r="A79" s="9"/>
      <c r="B79" s="33"/>
      <c r="C79" s="191">
        <v>70</v>
      </c>
      <c r="D79" s="189">
        <v>3.6150000000000002E-2</v>
      </c>
      <c r="E79" s="190"/>
      <c r="F79" s="33"/>
      <c r="G79" s="33"/>
      <c r="H79" s="37"/>
    </row>
    <row r="80" spans="1:8">
      <c r="A80" s="9"/>
      <c r="B80" s="33"/>
      <c r="C80" s="191">
        <v>71</v>
      </c>
      <c r="D80" s="189">
        <v>3.6110000000000003E-2</v>
      </c>
      <c r="E80" s="190"/>
      <c r="F80" s="33"/>
      <c r="G80" s="33"/>
      <c r="H80" s="37"/>
    </row>
    <row r="81" spans="1:8">
      <c r="A81" s="9"/>
      <c r="B81" s="33"/>
      <c r="C81" s="191">
        <v>72</v>
      </c>
      <c r="D81" s="189">
        <v>3.6060000000000002E-2</v>
      </c>
      <c r="E81" s="190"/>
      <c r="F81" s="33"/>
      <c r="G81" s="33"/>
      <c r="H81" s="37"/>
    </row>
    <row r="82" spans="1:8">
      <c r="A82" s="9"/>
      <c r="B82" s="33"/>
      <c r="C82" s="191">
        <v>73</v>
      </c>
      <c r="D82" s="189">
        <v>3.6020000000000003E-2</v>
      </c>
      <c r="E82" s="190"/>
      <c r="F82" s="33"/>
      <c r="G82" s="33"/>
      <c r="H82" s="37"/>
    </row>
    <row r="83" spans="1:8">
      <c r="A83" s="9"/>
      <c r="B83" s="33"/>
      <c r="C83" s="191">
        <v>74</v>
      </c>
      <c r="D83" s="189">
        <v>3.5979999999999998E-2</v>
      </c>
      <c r="E83" s="190"/>
      <c r="F83" s="33"/>
      <c r="G83" s="33"/>
      <c r="H83" s="37"/>
    </row>
    <row r="84" spans="1:8">
      <c r="A84" s="9"/>
      <c r="B84" s="33"/>
      <c r="C84" s="191">
        <v>75</v>
      </c>
      <c r="D84" s="189">
        <v>3.594E-2</v>
      </c>
      <c r="E84" s="190"/>
      <c r="F84" s="33"/>
      <c r="G84" s="33"/>
      <c r="H84" s="37"/>
    </row>
    <row r="85" spans="1:8">
      <c r="A85" s="9"/>
      <c r="B85" s="33"/>
      <c r="C85" s="191">
        <v>76</v>
      </c>
      <c r="D85" s="189">
        <v>3.5900000000000001E-2</v>
      </c>
      <c r="E85" s="190"/>
      <c r="F85" s="33"/>
      <c r="G85" s="33"/>
      <c r="H85" s="37"/>
    </row>
    <row r="86" spans="1:8">
      <c r="A86" s="9"/>
      <c r="B86" s="33"/>
      <c r="C86" s="191">
        <v>77</v>
      </c>
      <c r="D86" s="189">
        <v>3.5869999999999999E-2</v>
      </c>
      <c r="E86" s="190"/>
      <c r="F86" s="33"/>
      <c r="G86" s="33"/>
      <c r="H86" s="37"/>
    </row>
    <row r="87" spans="1:8">
      <c r="A87" s="9"/>
      <c r="B87" s="33"/>
      <c r="C87" s="191">
        <v>78</v>
      </c>
      <c r="D87" s="189">
        <v>3.5830000000000001E-2</v>
      </c>
      <c r="E87" s="190"/>
      <c r="F87" s="33"/>
      <c r="G87" s="33"/>
      <c r="H87" s="37"/>
    </row>
    <row r="88" spans="1:8">
      <c r="A88" s="9"/>
      <c r="B88" s="33"/>
      <c r="C88" s="191">
        <v>79</v>
      </c>
      <c r="D88" s="189">
        <v>3.5799999999999998E-2</v>
      </c>
      <c r="E88" s="190"/>
      <c r="F88" s="33"/>
      <c r="G88" s="33"/>
      <c r="H88" s="37"/>
    </row>
    <row r="89" spans="1:8">
      <c r="A89" s="9"/>
      <c r="B89" s="33"/>
      <c r="C89" s="191">
        <v>80</v>
      </c>
      <c r="D89" s="189">
        <v>3.576E-2</v>
      </c>
      <c r="E89" s="190"/>
      <c r="F89" s="33"/>
      <c r="G89" s="33"/>
      <c r="H89" s="37"/>
    </row>
    <row r="90" spans="1:8">
      <c r="A90" s="9"/>
      <c r="B90" s="33"/>
      <c r="C90" s="191">
        <v>81</v>
      </c>
      <c r="D90" s="189">
        <v>3.5729999999999998E-2</v>
      </c>
      <c r="E90" s="190"/>
      <c r="F90" s="33"/>
      <c r="G90" s="33"/>
      <c r="H90" s="37"/>
    </row>
    <row r="91" spans="1:8">
      <c r="A91" s="9"/>
      <c r="B91" s="33"/>
      <c r="C91" s="191">
        <v>82</v>
      </c>
      <c r="D91" s="189">
        <v>3.569E-2</v>
      </c>
      <c r="E91" s="190"/>
      <c r="F91" s="33"/>
      <c r="G91" s="33"/>
      <c r="H91" s="37"/>
    </row>
    <row r="92" spans="1:8">
      <c r="A92" s="9"/>
      <c r="B92" s="33"/>
      <c r="C92" s="191">
        <v>83</v>
      </c>
      <c r="D92" s="189">
        <v>3.5659999999999997E-2</v>
      </c>
      <c r="E92" s="190"/>
      <c r="F92" s="33"/>
      <c r="G92" s="33"/>
      <c r="H92" s="37"/>
    </row>
    <row r="93" spans="1:8">
      <c r="A93" s="9"/>
      <c r="B93" s="33"/>
      <c r="C93" s="191">
        <v>84</v>
      </c>
      <c r="D93" s="189">
        <v>3.5630000000000002E-2</v>
      </c>
      <c r="E93" s="190"/>
      <c r="F93" s="33"/>
      <c r="G93" s="33"/>
      <c r="H93" s="37"/>
    </row>
    <row r="94" spans="1:8">
      <c r="A94" s="9"/>
      <c r="B94" s="33"/>
      <c r="C94" s="191">
        <v>85</v>
      </c>
      <c r="D94" s="189">
        <v>3.56E-2</v>
      </c>
      <c r="E94" s="190"/>
      <c r="F94" s="33"/>
      <c r="G94" s="33"/>
      <c r="H94" s="37"/>
    </row>
    <row r="95" spans="1:8">
      <c r="A95" s="9"/>
      <c r="B95" s="33"/>
      <c r="C95" s="191">
        <v>86</v>
      </c>
      <c r="D95" s="189">
        <v>3.5569999999999997E-2</v>
      </c>
      <c r="E95" s="190"/>
      <c r="F95" s="33"/>
      <c r="G95" s="33"/>
      <c r="H95" s="37"/>
    </row>
    <row r="96" spans="1:8">
      <c r="A96" s="9"/>
      <c r="B96" s="33"/>
      <c r="C96" s="191">
        <v>87</v>
      </c>
      <c r="D96" s="189">
        <v>3.5540000000000002E-2</v>
      </c>
      <c r="E96" s="190"/>
      <c r="F96" s="33"/>
      <c r="G96" s="33"/>
      <c r="H96" s="37"/>
    </row>
    <row r="97" spans="1:8">
      <c r="A97" s="9"/>
      <c r="B97" s="33"/>
      <c r="C97" s="191">
        <v>88</v>
      </c>
      <c r="D97" s="189">
        <v>3.551E-2</v>
      </c>
      <c r="E97" s="190"/>
      <c r="F97" s="33"/>
      <c r="G97" s="33"/>
      <c r="H97" s="37"/>
    </row>
    <row r="98" spans="1:8">
      <c r="A98" s="9"/>
      <c r="B98" s="33"/>
      <c r="C98" s="191">
        <v>89</v>
      </c>
      <c r="D98" s="189">
        <v>3.5479999999999998E-2</v>
      </c>
      <c r="E98" s="190"/>
      <c r="F98" s="33"/>
      <c r="G98" s="33"/>
      <c r="H98" s="37"/>
    </row>
    <row r="99" spans="1:8">
      <c r="A99" s="9"/>
      <c r="B99" s="33"/>
      <c r="C99" s="191">
        <v>90</v>
      </c>
      <c r="D99" s="189">
        <v>3.5450000000000002E-2</v>
      </c>
      <c r="E99" s="190"/>
      <c r="F99" s="33"/>
      <c r="G99" s="33"/>
      <c r="H99" s="37"/>
    </row>
    <row r="100" spans="1:8">
      <c r="A100" s="9"/>
      <c r="B100" s="33"/>
      <c r="C100" s="191">
        <v>91</v>
      </c>
      <c r="D100" s="189">
        <v>3.5430000000000003E-2</v>
      </c>
      <c r="E100" s="190"/>
      <c r="F100" s="33"/>
      <c r="G100" s="33"/>
      <c r="H100" s="37"/>
    </row>
    <row r="101" spans="1:8">
      <c r="A101" s="9"/>
      <c r="B101" s="33"/>
      <c r="C101" s="191">
        <v>92</v>
      </c>
      <c r="D101" s="189">
        <v>3.5400000000000001E-2</v>
      </c>
      <c r="E101" s="190"/>
      <c r="F101" s="33"/>
      <c r="G101" s="33"/>
      <c r="H101" s="37"/>
    </row>
    <row r="102" spans="1:8">
      <c r="A102" s="9"/>
      <c r="B102" s="33"/>
      <c r="C102" s="191">
        <v>93</v>
      </c>
      <c r="D102" s="189">
        <v>3.5380000000000002E-2</v>
      </c>
      <c r="E102" s="190"/>
      <c r="F102" s="33"/>
      <c r="G102" s="33"/>
      <c r="H102" s="37"/>
    </row>
    <row r="103" spans="1:8">
      <c r="A103" s="9"/>
      <c r="B103" s="33"/>
      <c r="C103" s="191">
        <v>94</v>
      </c>
      <c r="D103" s="189">
        <v>3.5349999999999999E-2</v>
      </c>
      <c r="E103" s="190"/>
      <c r="F103" s="33"/>
      <c r="G103" s="33"/>
      <c r="H103" s="37"/>
    </row>
    <row r="104" spans="1:8">
      <c r="A104" s="9"/>
      <c r="B104" s="33"/>
      <c r="C104" s="191">
        <v>95</v>
      </c>
      <c r="D104" s="189">
        <v>3.533E-2</v>
      </c>
      <c r="E104" s="190"/>
      <c r="F104" s="33"/>
      <c r="G104" s="33"/>
      <c r="H104" s="37"/>
    </row>
    <row r="105" spans="1:8">
      <c r="A105" s="9"/>
      <c r="B105" s="33"/>
      <c r="C105" s="191">
        <v>96</v>
      </c>
      <c r="D105" s="189">
        <v>3.5299999999999998E-2</v>
      </c>
      <c r="E105" s="190"/>
      <c r="F105" s="33"/>
      <c r="G105" s="33"/>
      <c r="H105" s="37"/>
    </row>
    <row r="106" spans="1:8">
      <c r="A106" s="9"/>
      <c r="B106" s="33"/>
      <c r="C106" s="191">
        <v>97</v>
      </c>
      <c r="D106" s="189">
        <v>3.5279999999999999E-2</v>
      </c>
      <c r="E106" s="190"/>
      <c r="F106" s="33"/>
      <c r="G106" s="33"/>
      <c r="H106" s="37"/>
    </row>
    <row r="107" spans="1:8">
      <c r="A107" s="9"/>
      <c r="B107" s="33"/>
      <c r="C107" s="191">
        <v>98</v>
      </c>
      <c r="D107" s="189">
        <v>3.5249999999999997E-2</v>
      </c>
      <c r="E107" s="190"/>
      <c r="F107" s="33"/>
      <c r="G107" s="33"/>
      <c r="H107" s="37"/>
    </row>
    <row r="108" spans="1:8">
      <c r="A108" s="9"/>
      <c r="B108" s="33"/>
      <c r="C108" s="191">
        <v>99</v>
      </c>
      <c r="D108" s="189">
        <v>3.5229999999999997E-2</v>
      </c>
      <c r="E108" s="190"/>
      <c r="F108" s="33"/>
      <c r="G108" s="33"/>
      <c r="H108" s="37"/>
    </row>
    <row r="109" spans="1:8">
      <c r="A109" s="9"/>
      <c r="B109" s="33"/>
      <c r="C109" s="191">
        <v>100</v>
      </c>
      <c r="D109" s="189">
        <v>3.5209999999999998E-2</v>
      </c>
      <c r="E109" s="190"/>
      <c r="F109" s="33"/>
      <c r="G109" s="33"/>
      <c r="H109" s="37"/>
    </row>
    <row r="110" spans="1:8">
      <c r="A110" s="9"/>
      <c r="B110" s="33"/>
      <c r="C110" s="191">
        <v>101</v>
      </c>
      <c r="D110" s="189">
        <v>3.5189999999999999E-2</v>
      </c>
      <c r="E110" s="190"/>
      <c r="F110" s="33"/>
      <c r="G110" s="33"/>
      <c r="H110" s="37"/>
    </row>
    <row r="111" spans="1:8">
      <c r="A111" s="9"/>
      <c r="B111" s="33"/>
      <c r="C111" s="191">
        <v>102</v>
      </c>
      <c r="D111" s="189">
        <v>3.517E-2</v>
      </c>
      <c r="E111" s="190"/>
      <c r="F111" s="33"/>
      <c r="G111" s="33"/>
      <c r="H111" s="37"/>
    </row>
    <row r="112" spans="1:8">
      <c r="A112" s="9"/>
      <c r="B112" s="33"/>
      <c r="C112" s="191">
        <v>103</v>
      </c>
      <c r="D112" s="189">
        <v>3.5139999999999998E-2</v>
      </c>
      <c r="E112" s="190"/>
      <c r="F112" s="33"/>
      <c r="G112" s="33"/>
      <c r="H112" s="37"/>
    </row>
    <row r="113" spans="1:8">
      <c r="A113" s="9"/>
      <c r="B113" s="33"/>
      <c r="C113" s="191">
        <v>104</v>
      </c>
      <c r="D113" s="189">
        <v>3.5119999999999998E-2</v>
      </c>
      <c r="E113" s="190"/>
      <c r="F113" s="33"/>
      <c r="G113" s="33"/>
      <c r="H113" s="37"/>
    </row>
    <row r="114" spans="1:8">
      <c r="A114" s="9"/>
      <c r="B114" s="33"/>
      <c r="C114" s="191">
        <v>105</v>
      </c>
      <c r="D114" s="189">
        <v>3.5099999999999999E-2</v>
      </c>
      <c r="E114" s="190"/>
      <c r="F114" s="33"/>
      <c r="G114" s="33"/>
      <c r="H114" s="37"/>
    </row>
    <row r="115" spans="1:8">
      <c r="A115" s="9"/>
      <c r="B115" s="33"/>
      <c r="C115" s="191">
        <v>106</v>
      </c>
      <c r="D115" s="189">
        <v>3.508E-2</v>
      </c>
      <c r="E115" s="190"/>
      <c r="F115" s="33"/>
      <c r="G115" s="33"/>
      <c r="H115" s="37"/>
    </row>
    <row r="116" spans="1:8">
      <c r="A116" s="9"/>
      <c r="B116" s="33"/>
      <c r="C116" s="191">
        <v>107</v>
      </c>
      <c r="D116" s="189">
        <v>3.5060000000000001E-2</v>
      </c>
      <c r="E116" s="190"/>
      <c r="F116" s="33"/>
      <c r="G116" s="33"/>
      <c r="H116" s="37"/>
    </row>
    <row r="117" spans="1:8">
      <c r="A117" s="9"/>
      <c r="B117" s="33"/>
      <c r="C117" s="191">
        <v>108</v>
      </c>
      <c r="D117" s="189">
        <v>3.5049999999999998E-2</v>
      </c>
      <c r="E117" s="190"/>
      <c r="F117" s="33"/>
      <c r="G117" s="33"/>
      <c r="H117" s="37"/>
    </row>
    <row r="118" spans="1:8">
      <c r="A118" s="9"/>
      <c r="B118" s="33"/>
      <c r="C118" s="191">
        <v>109</v>
      </c>
      <c r="D118" s="189">
        <v>3.5029999999999999E-2</v>
      </c>
      <c r="E118" s="190"/>
      <c r="F118" s="33"/>
      <c r="G118" s="33"/>
      <c r="H118" s="37"/>
    </row>
    <row r="119" spans="1:8">
      <c r="A119" s="9"/>
      <c r="B119" s="33"/>
      <c r="C119" s="191">
        <v>110</v>
      </c>
      <c r="D119" s="189">
        <v>3.5009999999999999E-2</v>
      </c>
      <c r="E119" s="190"/>
      <c r="F119" s="33"/>
      <c r="G119" s="33"/>
      <c r="H119" s="37"/>
    </row>
    <row r="120" spans="1:8">
      <c r="A120" s="9"/>
      <c r="B120" s="33"/>
      <c r="C120" s="191">
        <v>111</v>
      </c>
      <c r="D120" s="189">
        <v>3.499E-2</v>
      </c>
      <c r="E120" s="190"/>
      <c r="F120" s="33"/>
      <c r="G120" s="33"/>
      <c r="H120" s="37"/>
    </row>
    <row r="121" spans="1:8">
      <c r="A121" s="9"/>
      <c r="B121" s="33"/>
      <c r="C121" s="191">
        <v>112</v>
      </c>
      <c r="D121" s="189">
        <v>3.4970000000000001E-2</v>
      </c>
      <c r="E121" s="190"/>
      <c r="F121" s="33"/>
      <c r="G121" s="33"/>
      <c r="H121" s="37"/>
    </row>
    <row r="122" spans="1:8">
      <c r="A122" s="9"/>
      <c r="B122" s="33"/>
      <c r="C122" s="191">
        <v>113</v>
      </c>
      <c r="D122" s="189">
        <v>3.4950000000000002E-2</v>
      </c>
      <c r="E122" s="190"/>
      <c r="F122" s="33"/>
      <c r="G122" s="33"/>
      <c r="H122" s="37"/>
    </row>
    <row r="123" spans="1:8">
      <c r="A123" s="9"/>
      <c r="B123" s="33"/>
      <c r="C123" s="191">
        <v>114</v>
      </c>
      <c r="D123" s="189">
        <v>3.4939999999999999E-2</v>
      </c>
      <c r="E123" s="190"/>
      <c r="F123" s="33"/>
      <c r="G123" s="33"/>
      <c r="H123" s="37"/>
    </row>
    <row r="124" spans="1:8">
      <c r="A124" s="9"/>
      <c r="B124" s="33"/>
      <c r="C124" s="191">
        <v>115</v>
      </c>
      <c r="D124" s="189">
        <v>3.492E-2</v>
      </c>
      <c r="E124" s="190"/>
      <c r="F124" s="33"/>
      <c r="G124" s="33"/>
      <c r="H124" s="37"/>
    </row>
    <row r="125" spans="1:8">
      <c r="A125" s="9"/>
      <c r="B125" s="33"/>
      <c r="C125" s="191">
        <v>116</v>
      </c>
      <c r="D125" s="189">
        <v>3.49E-2</v>
      </c>
      <c r="E125" s="190"/>
      <c r="F125" s="33"/>
      <c r="G125" s="33"/>
      <c r="H125" s="37"/>
    </row>
    <row r="126" spans="1:8">
      <c r="A126" s="9"/>
      <c r="B126" s="33"/>
      <c r="C126" s="191">
        <v>117</v>
      </c>
      <c r="D126" s="189">
        <v>3.4889999999999997E-2</v>
      </c>
      <c r="E126" s="190"/>
      <c r="F126" s="33"/>
      <c r="G126" s="33"/>
      <c r="H126" s="37"/>
    </row>
    <row r="127" spans="1:8">
      <c r="A127" s="9"/>
      <c r="B127" s="33"/>
      <c r="C127" s="191">
        <v>118</v>
      </c>
      <c r="D127" s="189">
        <v>3.4869999999999998E-2</v>
      </c>
      <c r="E127" s="190"/>
      <c r="F127" s="33"/>
      <c r="G127" s="33"/>
      <c r="H127" s="37"/>
    </row>
    <row r="128" spans="1:8">
      <c r="A128" s="9"/>
      <c r="B128" s="33"/>
      <c r="C128" s="191">
        <v>119</v>
      </c>
      <c r="D128" s="189">
        <v>3.4860000000000002E-2</v>
      </c>
      <c r="E128" s="190"/>
      <c r="F128" s="33"/>
      <c r="G128" s="33"/>
      <c r="H128" s="37"/>
    </row>
    <row r="129" spans="1:10">
      <c r="A129" s="9"/>
      <c r="B129" s="33"/>
      <c r="C129" s="191">
        <v>120</v>
      </c>
      <c r="D129" s="189">
        <v>3.4840000000000003E-2</v>
      </c>
      <c r="E129" s="190"/>
      <c r="F129" s="33"/>
      <c r="G129" s="33"/>
      <c r="H129" s="37"/>
    </row>
    <row r="130" spans="1:10">
      <c r="A130" s="9"/>
      <c r="B130" s="33"/>
      <c r="C130" s="191">
        <v>121</v>
      </c>
      <c r="D130" s="189">
        <v>3.483E-2</v>
      </c>
      <c r="E130" s="190"/>
      <c r="F130" s="33"/>
      <c r="G130" s="33"/>
      <c r="H130" s="37"/>
    </row>
    <row r="131" spans="1:10">
      <c r="A131" s="9"/>
      <c r="B131" s="33"/>
      <c r="C131" s="191">
        <v>122</v>
      </c>
      <c r="D131" s="189">
        <v>3.4810000000000001E-2</v>
      </c>
      <c r="E131" s="190"/>
      <c r="F131" s="33"/>
      <c r="G131" s="33"/>
      <c r="H131" s="37"/>
    </row>
    <row r="132" spans="1:10">
      <c r="A132" s="9"/>
      <c r="B132" s="33"/>
      <c r="C132" s="191">
        <v>123</v>
      </c>
      <c r="D132" s="189">
        <v>3.4799999999999998E-2</v>
      </c>
      <c r="E132" s="190"/>
      <c r="F132" s="33"/>
      <c r="G132" s="33"/>
      <c r="H132" s="37"/>
    </row>
    <row r="133" spans="1:10">
      <c r="A133" s="9"/>
      <c r="B133" s="33"/>
      <c r="C133" s="191">
        <v>124</v>
      </c>
      <c r="D133" s="189">
        <v>3.4779999999999998E-2</v>
      </c>
      <c r="E133" s="190"/>
      <c r="F133" s="33"/>
      <c r="G133" s="33"/>
      <c r="H133" s="37"/>
    </row>
    <row r="134" spans="1:10">
      <c r="A134" s="9"/>
      <c r="B134" s="33"/>
      <c r="C134" s="191">
        <v>125</v>
      </c>
      <c r="D134" s="189">
        <v>3.4770000000000002E-2</v>
      </c>
      <c r="E134" s="190"/>
      <c r="F134" s="33"/>
      <c r="G134" s="33"/>
      <c r="H134" s="37"/>
    </row>
    <row r="135" spans="1:10">
      <c r="A135" s="9"/>
      <c r="B135" s="33"/>
      <c r="C135" s="191">
        <v>126</v>
      </c>
      <c r="D135" s="189">
        <v>3.4750000000000003E-2</v>
      </c>
      <c r="E135" s="190"/>
      <c r="F135" s="33"/>
      <c r="G135" s="33"/>
      <c r="H135" s="37"/>
    </row>
    <row r="136" spans="1:10">
      <c r="A136" s="9"/>
      <c r="B136" s="33"/>
      <c r="C136" s="191">
        <v>127</v>
      </c>
      <c r="D136" s="189">
        <v>3.474E-2</v>
      </c>
      <c r="E136" s="190"/>
      <c r="F136" s="33"/>
      <c r="G136" s="33"/>
      <c r="H136" s="37"/>
    </row>
    <row r="137" spans="1:10">
      <c r="A137" s="9"/>
      <c r="B137" s="33"/>
      <c r="C137" s="191">
        <v>128</v>
      </c>
      <c r="D137" s="189">
        <v>3.4729999999999997E-2</v>
      </c>
      <c r="E137" s="190"/>
      <c r="F137" s="33"/>
      <c r="G137" s="33"/>
      <c r="H137" s="37"/>
    </row>
    <row r="138" spans="1:10">
      <c r="A138" s="9"/>
      <c r="B138" s="33"/>
      <c r="C138" s="191">
        <v>129</v>
      </c>
      <c r="D138" s="189">
        <v>3.4709999999999998E-2</v>
      </c>
      <c r="E138" s="190"/>
      <c r="F138" s="33"/>
      <c r="G138" s="33"/>
      <c r="H138" s="37"/>
    </row>
    <row r="139" spans="1:10">
      <c r="A139" s="9"/>
      <c r="B139" s="33"/>
      <c r="C139" s="191">
        <v>130</v>
      </c>
      <c r="D139" s="189">
        <v>3.4700000000000002E-2</v>
      </c>
      <c r="E139" s="190"/>
      <c r="F139" s="33"/>
      <c r="G139" s="33"/>
      <c r="H139" s="37"/>
    </row>
    <row r="140" spans="1:10">
      <c r="A140" s="9"/>
      <c r="B140" s="33"/>
      <c r="C140" s="191">
        <v>131</v>
      </c>
      <c r="D140" s="189">
        <v>3.4689999999999999E-2</v>
      </c>
      <c r="E140" s="190"/>
      <c r="F140" s="33"/>
      <c r="G140" s="33"/>
      <c r="H140" s="37"/>
    </row>
    <row r="141" spans="1:10">
      <c r="A141" s="9"/>
      <c r="B141" s="33"/>
      <c r="C141" s="191">
        <v>132</v>
      </c>
      <c r="D141" s="189">
        <v>3.4669999999999999E-2</v>
      </c>
      <c r="E141" s="190"/>
      <c r="F141" s="33"/>
      <c r="G141" s="33"/>
      <c r="H141" s="37"/>
    </row>
    <row r="142" spans="1:10">
      <c r="A142" s="9"/>
      <c r="B142" s="33"/>
      <c r="C142" s="191">
        <v>133</v>
      </c>
      <c r="D142" s="189">
        <v>3.4660000000000003E-2</v>
      </c>
      <c r="E142" s="190"/>
      <c r="F142" s="33"/>
      <c r="G142" s="33"/>
      <c r="H142" s="37"/>
      <c r="J142" s="227"/>
    </row>
    <row r="143" spans="1:10">
      <c r="A143" s="9"/>
      <c r="B143" s="33"/>
      <c r="C143" s="191">
        <v>134</v>
      </c>
      <c r="D143" s="189">
        <v>3.465E-2</v>
      </c>
      <c r="E143" s="190"/>
      <c r="F143" s="33"/>
      <c r="G143" s="33"/>
      <c r="H143" s="37"/>
    </row>
    <row r="144" spans="1:10">
      <c r="A144" s="9"/>
      <c r="B144" s="33"/>
      <c r="C144" s="191">
        <v>135</v>
      </c>
      <c r="D144" s="192">
        <v>3.4639999999999997E-2</v>
      </c>
      <c r="E144" s="190"/>
      <c r="F144" s="33"/>
      <c r="G144" s="33"/>
      <c r="H144" s="37"/>
    </row>
    <row r="145" spans="1:8">
      <c r="A145" s="55"/>
      <c r="B145" s="184"/>
      <c r="C145" s="184"/>
      <c r="D145" s="193"/>
      <c r="E145" s="184"/>
      <c r="F145" s="184"/>
      <c r="G145" s="184"/>
      <c r="H145" s="194"/>
    </row>
    <row r="146" spans="1:8">
      <c r="D146" s="227"/>
    </row>
    <row r="147" spans="1:8">
      <c r="D147" s="227"/>
    </row>
    <row r="148" spans="1:8">
      <c r="D148" s="227"/>
    </row>
    <row r="149" spans="1:8">
      <c r="D149" s="227"/>
    </row>
    <row r="150" spans="1:8">
      <c r="D150" s="227"/>
    </row>
    <row r="151" spans="1:8">
      <c r="D151" s="227"/>
    </row>
    <row r="152" spans="1:8">
      <c r="D152" s="227"/>
    </row>
    <row r="153" spans="1:8">
      <c r="D153" s="227"/>
    </row>
    <row r="154" spans="1:8">
      <c r="D154" s="227"/>
    </row>
    <row r="155" spans="1:8">
      <c r="D155" s="227"/>
    </row>
    <row r="156" spans="1:8">
      <c r="D156" s="227"/>
    </row>
    <row r="157" spans="1:8">
      <c r="D157" s="227"/>
    </row>
    <row r="158" spans="1:8">
      <c r="D158" s="227"/>
    </row>
    <row r="159" spans="1:8">
      <c r="D159" s="227"/>
    </row>
  </sheetData>
  <sheetProtection sheet="1" formatCells="0" formatColumns="0" formatRows="0" insertColumns="0" insertHyperlinks="0" deleteColumns="0" sort="0" autoFilter="0" pivotTables="0"/>
  <phoneticPr fontId="5" type="noConversion"/>
  <hyperlinks>
    <hyperlink ref="E4" r:id="rId1" display="http://www.norges-bank.no/templates/article____55484.aspx" xr:uid="{00000000-0004-0000-0800-000000000000}"/>
  </hyperlinks>
  <pageMargins left="0.74803149606299213" right="0.74803149606299213" top="0.98425196850393704" bottom="0.98425196850393704" header="0.51181102362204722" footer="0.51181102362204722"/>
  <pageSetup paperSize="9" scale="76" fitToHeight="2" orientation="portrait" r:id="rId2"/>
  <headerFooter alignWithMargins="0">
    <oddFooter>&amp;CSide &amp;P</oddFooter>
  </headerFooter>
  <rowBreaks count="1" manualBreakCount="1">
    <brk id="7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2" ma:contentTypeDescription="Opprett et nytt dokument." ma:contentTypeScope="" ma:versionID="7c67e8f4eaa92e8f556b88d52efb828d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b31d62049469893d94b5a6b5866b9d18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494E56A-2B6C-4004-9A61-CAD819F76E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964B9A-F4CC-4B59-9FE0-15020DABEC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29AE15-CAEC-4AE6-A432-CAEA875A02CA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13a737a5-652a-4f06-bae2-eff4ea091b65"/>
    <ds:schemaRef ds:uri="d75f0fcd-6e67-4f78-a319-55a18acbdd5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Navngitte områder</vt:lpstr>
      </vt:variant>
      <vt:variant>
        <vt:i4>7</vt:i4>
      </vt:variant>
    </vt:vector>
  </HeadingPairs>
  <TitlesOfParts>
    <vt:vector size="18" baseType="lpstr">
      <vt:lpstr>SOLVENSKAPITALDEKNING</vt:lpstr>
      <vt:lpstr>Markedsrisiko</vt:lpstr>
      <vt:lpstr>Livsforsikringsrisiko</vt:lpstr>
      <vt:lpstr>Helseforsikringsrisiko</vt:lpstr>
      <vt:lpstr>Motpartsrisiko</vt:lpstr>
      <vt:lpstr>Operasjonell risiko</vt:lpstr>
      <vt:lpstr>Beste estimat og risikomargin</vt:lpstr>
      <vt:lpstr>Ansvarlig kapital</vt:lpstr>
      <vt:lpstr>Vedlegg 1 - Rentekurve</vt:lpstr>
      <vt:lpstr>Vedlegg2 - Alternativ beregning</vt:lpstr>
      <vt:lpstr>Vedlegg 3 - Forutsetninger</vt:lpstr>
      <vt:lpstr>'Ansvarlig kapital'!Utskriftsområde</vt:lpstr>
      <vt:lpstr>'Beste estimat og risikomargin'!Utskriftsområde</vt:lpstr>
      <vt:lpstr>Helseforsikringsrisiko!Utskriftsområde</vt:lpstr>
      <vt:lpstr>Markedsrisiko!Utskriftsområde</vt:lpstr>
      <vt:lpstr>Motpartsrisiko!Utskriftsområde</vt:lpstr>
      <vt:lpstr>'Vedlegg 3 - Forutsetninger'!Utskriftsområde</vt:lpstr>
      <vt:lpstr>'Vedlegg2 - Alternativ beregning'!Utskriftsområde</vt:lpstr>
    </vt:vector>
  </TitlesOfParts>
  <Manager/>
  <Company>Kredittilsynet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Liv Karin Methi</dc:creator>
  <cp:keywords/>
  <dc:description/>
  <cp:lastModifiedBy>Jan Hagen</cp:lastModifiedBy>
  <cp:revision/>
  <dcterms:created xsi:type="dcterms:W3CDTF">2006-09-18T06:45:29Z</dcterms:created>
  <dcterms:modified xsi:type="dcterms:W3CDTF">2025-01-08T10:17:00Z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MediaServiceImageTags">
    <vt:lpwstr/>
  </property>
</Properties>
</file>