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345" windowWidth="12240" windowHeight="9000"/>
  </bookViews>
  <sheets>
    <sheet name="Resultat" sheetId="8" r:id="rId1"/>
    <sheet name="Balanse-Eiendeler" sheetId="6" r:id="rId2"/>
    <sheet name="Balanse-Egenkapital og gjeld" sheetId="5" r:id="rId3"/>
    <sheet name="Tidsserier" sheetId="4" r:id="rId4"/>
    <sheet name="Tidsserier-meglerforetak" sheetId="9" r:id="rId5"/>
    <sheet name="Premie-tidsserier" sheetId="2" r:id="rId6"/>
    <sheet name="Premie-tidsserier-meglerforetak" sheetId="3" r:id="rId7"/>
    <sheet name="Antall foretak og f.formidlere" sheetId="1" r:id="rId8"/>
  </sheets>
  <calcPr calcId="145621"/>
</workbook>
</file>

<file path=xl/calcChain.xml><?xml version="1.0" encoding="utf-8"?>
<calcChain xmlns="http://schemas.openxmlformats.org/spreadsheetml/2006/main">
  <c r="H16" i="5" l="1"/>
  <c r="C3" i="9" l="1"/>
  <c r="C35" i="5" l="1"/>
  <c r="C34" i="5"/>
  <c r="C33" i="5"/>
  <c r="C32" i="5"/>
  <c r="C31" i="5"/>
  <c r="C30" i="5"/>
  <c r="C29" i="5"/>
  <c r="C28" i="5"/>
  <c r="C27" i="5"/>
  <c r="C25" i="5"/>
  <c r="C24" i="5"/>
  <c r="C23" i="5"/>
  <c r="C22" i="5"/>
  <c r="C20" i="5"/>
  <c r="C19" i="5"/>
  <c r="C18" i="5"/>
  <c r="C16" i="5"/>
  <c r="C14" i="5"/>
  <c r="C12" i="5"/>
  <c r="C11" i="5"/>
  <c r="C10" i="5"/>
  <c r="C9" i="5"/>
  <c r="C7" i="5"/>
  <c r="C5" i="5"/>
  <c r="C38" i="6"/>
  <c r="C37" i="6"/>
  <c r="C36" i="6"/>
  <c r="C34" i="6"/>
  <c r="C33" i="6"/>
  <c r="C32" i="6"/>
  <c r="C31" i="6"/>
  <c r="C29" i="6"/>
  <c r="C28" i="6"/>
  <c r="C27" i="6"/>
  <c r="C26" i="6"/>
  <c r="C25" i="6"/>
  <c r="C23" i="6"/>
  <c r="C21" i="6"/>
  <c r="C20" i="6"/>
  <c r="C19" i="6"/>
  <c r="C18" i="6"/>
  <c r="C16" i="6"/>
  <c r="C15" i="6"/>
  <c r="C14" i="6"/>
  <c r="C13" i="6"/>
  <c r="C11" i="6"/>
  <c r="C10" i="6"/>
  <c r="C9" i="6"/>
  <c r="C8" i="6"/>
  <c r="C7" i="6"/>
  <c r="C5" i="6"/>
  <c r="C7" i="8"/>
  <c r="C8" i="8"/>
  <c r="C9" i="8"/>
  <c r="C10" i="8"/>
  <c r="C11" i="8"/>
  <c r="C13" i="8"/>
  <c r="C14" i="8"/>
  <c r="C15" i="8"/>
  <c r="C16" i="8"/>
  <c r="C18" i="8"/>
  <c r="C20" i="8"/>
  <c r="C21" i="8"/>
  <c r="C22" i="8"/>
  <c r="C24" i="8"/>
  <c r="C25" i="8"/>
  <c r="C27" i="8"/>
  <c r="C29" i="8"/>
  <c r="C30" i="8"/>
  <c r="C31" i="8"/>
  <c r="C6" i="8"/>
  <c r="B11" i="3"/>
  <c r="K13" i="2"/>
  <c r="B13" i="2"/>
  <c r="B16" i="1"/>
  <c r="B13" i="1"/>
  <c r="B8" i="1"/>
  <c r="M19" i="2" l="1"/>
  <c r="M20" i="2"/>
  <c r="L12" i="2"/>
  <c r="L13" i="2" s="1"/>
  <c r="L10" i="2"/>
  <c r="L9" i="2"/>
  <c r="D19" i="2"/>
  <c r="C19" i="2"/>
  <c r="C12" i="2"/>
  <c r="C10" i="3"/>
  <c r="C9" i="3"/>
  <c r="C8" i="3"/>
  <c r="C11" i="3" s="1"/>
  <c r="D10" i="3"/>
  <c r="D9" i="3"/>
  <c r="D8" i="3"/>
  <c r="D11" i="3" s="1"/>
  <c r="C13" i="2"/>
  <c r="E11" i="3"/>
  <c r="C8" i="1" l="1"/>
  <c r="C13" i="1"/>
  <c r="C16" i="1" s="1"/>
  <c r="D16" i="1" l="1"/>
  <c r="D8" i="1"/>
  <c r="M12" i="2"/>
  <c r="M11" i="2"/>
  <c r="M10" i="2"/>
  <c r="D20" i="2"/>
  <c r="N20" i="2"/>
  <c r="M9" i="2"/>
  <c r="D12" i="2"/>
  <c r="M13" i="2" l="1"/>
  <c r="D13" i="2"/>
  <c r="N9" i="2" l="1"/>
  <c r="N13" i="2" s="1"/>
  <c r="E13" i="1" l="1"/>
  <c r="E16" i="1" s="1"/>
  <c r="E5" i="1" l="1"/>
  <c r="E6" i="1"/>
  <c r="E8" i="1" l="1"/>
</calcChain>
</file>

<file path=xl/sharedStrings.xml><?xml version="1.0" encoding="utf-8"?>
<sst xmlns="http://schemas.openxmlformats.org/spreadsheetml/2006/main" count="289" uniqueCount="189">
  <si>
    <t xml:space="preserve">Antall </t>
  </si>
  <si>
    <t>Forsikringsmeglerforetak</t>
  </si>
  <si>
    <t>Gjenforsikringsmeglerforetak</t>
  </si>
  <si>
    <t>Agentforetak</t>
  </si>
  <si>
    <t>Antall konsesjoner (tillatelser)</t>
  </si>
  <si>
    <t>Forsikringsformidlingsforetak med en eller flere konsesjoner</t>
  </si>
  <si>
    <t>Antall ansatte forsikringsformidlere i:</t>
  </si>
  <si>
    <t>Sum</t>
  </si>
  <si>
    <t>NB fom 2008 er antall forsikringsformidlere i meglerforetakene som også driver gjenforsikringsformidling, ført under forsikringsmeglerforetak.</t>
  </si>
  <si>
    <t>Forsikringsformidling - antall foretak og antall ansatte formidlere</t>
  </si>
  <si>
    <t xml:space="preserve">pr 31.12                                    </t>
  </si>
  <si>
    <t xml:space="preserve">Premietall for forsikringsformidlingsforetak </t>
  </si>
  <si>
    <t>pr 31.12                                      i 1 000 kr</t>
  </si>
  <si>
    <t>Formidlet bransjefordelt premiebeløp</t>
  </si>
  <si>
    <t>Via megler eller gjenforsikringsmegler</t>
  </si>
  <si>
    <t>Via agent</t>
  </si>
  <si>
    <t>Bransje</t>
  </si>
  <si>
    <t>Sjø, luft og energi</t>
  </si>
  <si>
    <t>Landbasert skade</t>
  </si>
  <si>
    <t>Liv og pensjon</t>
  </si>
  <si>
    <t>Gjenforsikring</t>
  </si>
  <si>
    <t>Formidlet via annen formidler</t>
  </si>
  <si>
    <t>Formidlet til annen formidlers forsikringsselskap* :</t>
  </si>
  <si>
    <t>Formidlet fra annen formidler til forsikringsselskap:</t>
  </si>
  <si>
    <t>megler/gjenf.megler</t>
  </si>
  <si>
    <t>agent</t>
  </si>
  <si>
    <t>Dette er beløp som kan være telt to ganger som følge av rapportering også fra mellomleddene.</t>
  </si>
  <si>
    <t>* Med "annen formidlers forsikringsselskap" menes der hvor en annen formidler har plassert forretningen i et forsikringsselskap.</t>
  </si>
  <si>
    <t>Bransjefordelt premiebeløp</t>
  </si>
  <si>
    <t xml:space="preserve">Sum </t>
  </si>
  <si>
    <t>Premietall for forsikringsmeglerforetak</t>
  </si>
  <si>
    <t>Totalsum</t>
  </si>
  <si>
    <t>Delsum forsikrings-meglingsforetak</t>
  </si>
  <si>
    <t>Delsum agentforetak</t>
  </si>
  <si>
    <t>2.1</t>
  </si>
  <si>
    <t>Driftsinntekt</t>
  </si>
  <si>
    <t>2.1.1</t>
  </si>
  <si>
    <t>Inntekt for forsikringsformidlingsvirksomhet fra forsikringsselskaper/agenter</t>
  </si>
  <si>
    <t>2.1.2</t>
  </si>
  <si>
    <t>Inntekt for forsikringsformidlingsvirksomhet fra kunder</t>
  </si>
  <si>
    <t>2.1.3</t>
  </si>
  <si>
    <t>Annen inntekt fra forsikringsselskaper/agenter</t>
  </si>
  <si>
    <t>2.1.4</t>
  </si>
  <si>
    <t>Annen inntekt fra kunder</t>
  </si>
  <si>
    <t>2.1.5</t>
  </si>
  <si>
    <t>Agentforetakets forsikringsformidlingsinntekt som ikke er tilsynsavgiftspliktig</t>
  </si>
  <si>
    <t>2.2</t>
  </si>
  <si>
    <t>Driftskostnad</t>
  </si>
  <si>
    <t>2.2.1</t>
  </si>
  <si>
    <t>Lønnskostnad</t>
  </si>
  <si>
    <t>2.2.2</t>
  </si>
  <si>
    <t>Avskrivning</t>
  </si>
  <si>
    <t>2.2.3</t>
  </si>
  <si>
    <t>Annen driftskostnad</t>
  </si>
  <si>
    <t>2.3</t>
  </si>
  <si>
    <t>Driftsresultat</t>
  </si>
  <si>
    <t>2.4</t>
  </si>
  <si>
    <t>Netto finansinntekt/-kostnad</t>
  </si>
  <si>
    <t>2.4.1</t>
  </si>
  <si>
    <t>Rente-/finansinntekt</t>
  </si>
  <si>
    <t>2.4.2</t>
  </si>
  <si>
    <t>Rente-/finanskostnad</t>
  </si>
  <si>
    <t>2.5</t>
  </si>
  <si>
    <t>Ordinært resultat før skattekostnad</t>
  </si>
  <si>
    <t>2.6</t>
  </si>
  <si>
    <t>Skattekostnad på ordinært resultat</t>
  </si>
  <si>
    <t>2.7</t>
  </si>
  <si>
    <t>Ordinært resultat</t>
  </si>
  <si>
    <t>2.11</t>
  </si>
  <si>
    <t>Årsresultat</t>
  </si>
  <si>
    <t>2.12</t>
  </si>
  <si>
    <t>Foreslått/forventet avsatt til utbytte</t>
  </si>
  <si>
    <t>2.13</t>
  </si>
  <si>
    <t>Foreslått/forventet konsernbidrag</t>
  </si>
  <si>
    <t>Under "Delsum forsikringsmeglingsforetak" ligger også tall fra foretak med tillatelse til å drive gjenforsikringsmegling.</t>
  </si>
  <si>
    <t>3.</t>
  </si>
  <si>
    <t>EIENDELER</t>
  </si>
  <si>
    <t>3.1</t>
  </si>
  <si>
    <t>Anleggsmidler</t>
  </si>
  <si>
    <t>3.1.1</t>
  </si>
  <si>
    <t>Immaterielle eiendeler</t>
  </si>
  <si>
    <t>3.1.1.1</t>
  </si>
  <si>
    <t>Utsatt skattefordel</t>
  </si>
  <si>
    <t>3.1.1.2</t>
  </si>
  <si>
    <t>Goodwill</t>
  </si>
  <si>
    <t>3.1.1.3</t>
  </si>
  <si>
    <t>Øvrige immaterielle eiendeler</t>
  </si>
  <si>
    <t>3.1.2</t>
  </si>
  <si>
    <t>Varige driftsmidler</t>
  </si>
  <si>
    <t>3.1.2.1</t>
  </si>
  <si>
    <t>Tomter, bygninger og annen fast eiendom</t>
  </si>
  <si>
    <t>3.1.2.2</t>
  </si>
  <si>
    <t>Driftsløsøre, inventar, verktøy, kontormaskiner o.l.</t>
  </si>
  <si>
    <t>3.1.2.3</t>
  </si>
  <si>
    <t>Øvrige varige driftsmidler</t>
  </si>
  <si>
    <t>3.1.3</t>
  </si>
  <si>
    <t>Finansielle anleggmidler</t>
  </si>
  <si>
    <t>3.1.3.1</t>
  </si>
  <si>
    <t>Investeringer i foretak i samme konsern</t>
  </si>
  <si>
    <t>3.1.3.2</t>
  </si>
  <si>
    <t>Lån til foretak i samme konsern</t>
  </si>
  <si>
    <t>3.1.3.3</t>
  </si>
  <si>
    <t>Øvrige finansielle anleggsmidler</t>
  </si>
  <si>
    <t>3.2</t>
  </si>
  <si>
    <t>Omløpsmidler</t>
  </si>
  <si>
    <t>3.2.1</t>
  </si>
  <si>
    <t>Fordringer</t>
  </si>
  <si>
    <t>3.2.1.1</t>
  </si>
  <si>
    <t>Kundefordringer</t>
  </si>
  <si>
    <t>3.2.1.2</t>
  </si>
  <si>
    <t>Fordringer på foretak i samme konsern</t>
  </si>
  <si>
    <t>3.2.1.3</t>
  </si>
  <si>
    <t>Mellomværende med klient</t>
  </si>
  <si>
    <t>3.2.1.4</t>
  </si>
  <si>
    <t>Øvrige fordringer</t>
  </si>
  <si>
    <t>3.2.2</t>
  </si>
  <si>
    <t>Investeringer</t>
  </si>
  <si>
    <t>3.2.2.1</t>
  </si>
  <si>
    <t>Markedsbaserte aksjer og obligasjoner</t>
  </si>
  <si>
    <t>3.2.2.2</t>
  </si>
  <si>
    <t>Andre markedsbaserte finansielle instrumenter</t>
  </si>
  <si>
    <t>3.2.2.3</t>
  </si>
  <si>
    <t>Andre finansielle instrumenter</t>
  </si>
  <si>
    <t>3.2.3</t>
  </si>
  <si>
    <t>Bankinnskudd, kontanter o.l.</t>
  </si>
  <si>
    <t>3.2.3.1</t>
  </si>
  <si>
    <t>Skattetrekkskonto</t>
  </si>
  <si>
    <t>3.2.3.2</t>
  </si>
  <si>
    <t>Øvrige bankinnskudd, kontanter og lignende</t>
  </si>
  <si>
    <t>Regnskapstall for forsikringsformidlingsforetak</t>
  </si>
  <si>
    <t>4.</t>
  </si>
  <si>
    <t>EGENKAPITAL OG GJELD</t>
  </si>
  <si>
    <t>4.1</t>
  </si>
  <si>
    <t>Egenkapital</t>
  </si>
  <si>
    <t>4.1.1</t>
  </si>
  <si>
    <t>Innskutt egenkapital</t>
  </si>
  <si>
    <t>4.1.1.1</t>
  </si>
  <si>
    <t>Selskapskapital</t>
  </si>
  <si>
    <t>4.1.1.2</t>
  </si>
  <si>
    <t>Overkursfond</t>
  </si>
  <si>
    <t>4.1.1.3</t>
  </si>
  <si>
    <t>Annen innskutt egenkapital</t>
  </si>
  <si>
    <t>4.1.2</t>
  </si>
  <si>
    <t>Opptjent egenkapital</t>
  </si>
  <si>
    <t>4.2</t>
  </si>
  <si>
    <t>Gjeld</t>
  </si>
  <si>
    <t>4.2.1</t>
  </si>
  <si>
    <t>Avsetning for forpliktelser</t>
  </si>
  <si>
    <t>4.2.1.1</t>
  </si>
  <si>
    <t>Utsatt skatt</t>
  </si>
  <si>
    <t>4.2.1.2</t>
  </si>
  <si>
    <t>Øvrige avsetninger for forpliktelser</t>
  </si>
  <si>
    <t>4.2.2</t>
  </si>
  <si>
    <t>Annen langsiktig gjeld</t>
  </si>
  <si>
    <t>4.2.2.1</t>
  </si>
  <si>
    <t>Ansvarlig lånekapital</t>
  </si>
  <si>
    <t>4.2.2.2</t>
  </si>
  <si>
    <t>Gjeld til selskap i samme konsern</t>
  </si>
  <si>
    <t>4.2.2.3</t>
  </si>
  <si>
    <t>Øvrig langsiktig gjeld</t>
  </si>
  <si>
    <t>4.2.3</t>
  </si>
  <si>
    <t>Kortsiktig gjeld</t>
  </si>
  <si>
    <t>4.2.3.1</t>
  </si>
  <si>
    <t>Kassekredittgjeld</t>
  </si>
  <si>
    <t>4.2.3.2</t>
  </si>
  <si>
    <t>4.2.3.3</t>
  </si>
  <si>
    <t>4.2.3.4</t>
  </si>
  <si>
    <t>Leverandørgjeld</t>
  </si>
  <si>
    <t>4.2.3.5</t>
  </si>
  <si>
    <t>Betalbar skatt</t>
  </si>
  <si>
    <t>4.2.3.6</t>
  </si>
  <si>
    <t>Skyldig skattetrekk</t>
  </si>
  <si>
    <t>4.2.3.7</t>
  </si>
  <si>
    <t>Skyldig arbeidsgiveravgift</t>
  </si>
  <si>
    <t>4.2.3.8</t>
  </si>
  <si>
    <t>Øvrig kortsiktig gjeld</t>
  </si>
  <si>
    <t xml:space="preserve">Regnskapstall for forsikringsformidlingsforetak </t>
  </si>
  <si>
    <t xml:space="preserve">            -  </t>
  </si>
  <si>
    <t xml:space="preserve">          -  </t>
  </si>
  <si>
    <t>Fra og med 2006 er gjenforsikringsmeglingsforetak og agenter for utenlandske foretak inkludert i tallmaterialet.</t>
  </si>
  <si>
    <t>Fra og med 2009 er inntektsbegrepene "honorar" og "provisjon" slått sammen til "Inntekt".</t>
  </si>
  <si>
    <t xml:space="preserve">Regnskapstall for forsikringsmeglerforetak </t>
  </si>
  <si>
    <t>pr 31.12                                      i  kr</t>
  </si>
  <si>
    <t>Før 2012 var rapporterte tall i 1000 kr. Lagt til tre nuller slik at alle år i tabellen blir oppgitt i kr.</t>
  </si>
  <si>
    <t>Vedlegg til Finanstilsynets pressemelding x/2016</t>
  </si>
  <si>
    <t>Vedlegg til Finanstilsynets pressemelding x/2017</t>
  </si>
  <si>
    <t>pr 31.12 .2016                                      i kr</t>
  </si>
  <si>
    <t>pr 31.12.2016                                      i kr</t>
  </si>
  <si>
    <t>pr 31.12.2016                                        i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</si>
</sst>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\ %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/>
    <xf numFmtId="0" fontId="22" fillId="0" borderId="0" xfId="0" applyFont="1"/>
    <xf numFmtId="0" fontId="1" fillId="0" borderId="0" xfId="0" applyFont="1"/>
    <xf numFmtId="0" fontId="22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2" fillId="0" borderId="0" xfId="0" applyFont="1"/>
    <xf numFmtId="0" fontId="0" fillId="0" borderId="0" xfId="0"/>
    <xf numFmtId="0" fontId="1" fillId="0" borderId="0" xfId="0" applyFont="1"/>
    <xf numFmtId="0" fontId="1" fillId="0" borderId="0" xfId="0" applyFont="1"/>
    <xf numFmtId="0" fontId="23" fillId="0" borderId="0" xfId="0" applyFont="1"/>
    <xf numFmtId="0" fontId="0" fillId="0" borderId="0" xfId="0"/>
    <xf numFmtId="0" fontId="1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165" fontId="24" fillId="0" borderId="0" xfId="1" applyNumberFormat="1" applyFont="1"/>
    <xf numFmtId="1" fontId="22" fillId="0" borderId="0" xfId="1" applyNumberFormat="1" applyFont="1"/>
    <xf numFmtId="1" fontId="22" fillId="0" borderId="0" xfId="0" applyNumberFormat="1" applyFont="1"/>
    <xf numFmtId="1" fontId="22" fillId="0" borderId="0" xfId="1" applyNumberFormat="1" applyFont="1" applyBorder="1"/>
    <xf numFmtId="1" fontId="22" fillId="0" borderId="0" xfId="0" applyNumberFormat="1" applyFont="1" applyBorder="1"/>
    <xf numFmtId="0" fontId="22" fillId="0" borderId="0" xfId="0" applyFont="1" applyBorder="1"/>
    <xf numFmtId="0" fontId="1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0" fontId="22" fillId="0" borderId="0" xfId="0" applyFont="1"/>
    <xf numFmtId="0" fontId="1" fillId="0" borderId="0" xfId="0" applyFont="1"/>
    <xf numFmtId="0" fontId="23" fillId="0" borderId="0" xfId="0" applyFont="1"/>
    <xf numFmtId="0" fontId="0" fillId="0" borderId="0" xfId="0"/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/>
    <xf numFmtId="0" fontId="0" fillId="0" borderId="0" xfId="0"/>
    <xf numFmtId="165" fontId="1" fillId="0" borderId="0" xfId="1" applyNumberFormat="1" applyFont="1"/>
    <xf numFmtId="165" fontId="0" fillId="0" borderId="0" xfId="1" applyNumberFormat="1" applyFont="1"/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/>
    <xf numFmtId="0" fontId="0" fillId="0" borderId="0" xfId="0"/>
    <xf numFmtId="3" fontId="1" fillId="0" borderId="0" xfId="0" applyNumberFormat="1" applyFont="1"/>
    <xf numFmtId="0" fontId="21" fillId="0" borderId="0" xfId="48" applyFont="1"/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/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9" fillId="0" borderId="0" xfId="43"/>
    <xf numFmtId="165" fontId="1" fillId="0" borderId="0" xfId="1" applyNumberFormat="1" applyFont="1"/>
    <xf numFmtId="165" fontId="1" fillId="0" borderId="0" xfId="0" applyNumberFormat="1" applyFont="1"/>
    <xf numFmtId="0" fontId="22" fillId="0" borderId="0" xfId="0" applyFont="1"/>
    <xf numFmtId="0" fontId="23" fillId="0" borderId="0" xfId="0" applyFont="1"/>
    <xf numFmtId="0" fontId="26" fillId="0" borderId="0" xfId="43" applyFont="1" applyFill="1"/>
    <xf numFmtId="165" fontId="0" fillId="0" borderId="0" xfId="1" applyNumberFormat="1" applyFont="1"/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165" fontId="25" fillId="0" borderId="0" xfId="0" applyNumberFormat="1" applyFont="1"/>
    <xf numFmtId="165" fontId="25" fillId="0" borderId="0" xfId="1" applyNumberFormat="1" applyFont="1" applyBorder="1"/>
    <xf numFmtId="0" fontId="0" fillId="0" borderId="10" xfId="0" applyBorder="1"/>
    <xf numFmtId="0" fontId="22" fillId="0" borderId="10" xfId="0" applyFont="1" applyBorder="1"/>
    <xf numFmtId="1" fontId="22" fillId="0" borderId="10" xfId="1" applyNumberFormat="1" applyFont="1" applyBorder="1"/>
    <xf numFmtId="0" fontId="2" fillId="0" borderId="0" xfId="0" applyFont="1" applyBorder="1"/>
    <xf numFmtId="0" fontId="2" fillId="0" borderId="0" xfId="0" applyFont="1"/>
    <xf numFmtId="165" fontId="2" fillId="0" borderId="0" xfId="1" applyNumberFormat="1" applyFont="1" applyBorder="1"/>
    <xf numFmtId="3" fontId="2" fillId="0" borderId="0" xfId="0" applyNumberFormat="1" applyFont="1" applyBorder="1"/>
    <xf numFmtId="3" fontId="2" fillId="0" borderId="10" xfId="0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3" fontId="2" fillId="0" borderId="10" xfId="1" applyNumberFormat="1" applyFont="1" applyBorder="1"/>
    <xf numFmtId="3" fontId="2" fillId="0" borderId="0" xfId="0" applyNumberFormat="1" applyFont="1"/>
    <xf numFmtId="0" fontId="0" fillId="0" borderId="0" xfId="0"/>
    <xf numFmtId="0" fontId="0" fillId="0" borderId="0" xfId="0"/>
    <xf numFmtId="10" fontId="0" fillId="0" borderId="0" xfId="52" applyNumberFormat="1" applyFont="1"/>
    <xf numFmtId="9" fontId="0" fillId="0" borderId="0" xfId="52" applyFont="1"/>
    <xf numFmtId="166" fontId="0" fillId="0" borderId="0" xfId="52" applyNumberFormat="1" applyFont="1"/>
    <xf numFmtId="165" fontId="1" fillId="0" borderId="0" xfId="52" applyNumberFormat="1" applyFont="1"/>
    <xf numFmtId="0" fontId="25" fillId="0" borderId="0" xfId="43" applyFont="1"/>
    <xf numFmtId="0" fontId="27" fillId="0" borderId="0" xfId="48" applyFont="1"/>
    <xf numFmtId="0" fontId="28" fillId="0" borderId="0" xfId="48" applyFont="1"/>
    <xf numFmtId="165" fontId="25" fillId="0" borderId="0" xfId="1" applyNumberFormat="1" applyFont="1"/>
    <xf numFmtId="165" fontId="19" fillId="0" borderId="0" xfId="1" applyNumberFormat="1" applyFont="1"/>
    <xf numFmtId="0" fontId="0" fillId="0" borderId="0" xfId="0" applyBorder="1"/>
    <xf numFmtId="0" fontId="0" fillId="0" borderId="0" xfId="0"/>
    <xf numFmtId="9" fontId="2" fillId="0" borderId="0" xfId="52" applyFont="1"/>
    <xf numFmtId="0" fontId="29" fillId="0" borderId="0" xfId="0" applyFont="1"/>
    <xf numFmtId="0" fontId="1" fillId="0" borderId="0" xfId="0" applyFont="1" applyBorder="1"/>
    <xf numFmtId="0" fontId="22" fillId="0" borderId="11" xfId="0" applyFont="1" applyBorder="1"/>
    <xf numFmtId="3" fontId="2" fillId="0" borderId="0" xfId="1" applyNumberFormat="1" applyFont="1" applyBorder="1"/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9" fontId="1" fillId="0" borderId="0" xfId="52" applyFont="1"/>
    <xf numFmtId="9" fontId="23" fillId="0" borderId="0" xfId="52" applyFont="1"/>
    <xf numFmtId="165" fontId="0" fillId="0" borderId="0" xfId="52" applyNumberFormat="1" applyFont="1" applyBorder="1"/>
    <xf numFmtId="165" fontId="0" fillId="0" borderId="0" xfId="52" applyNumberFormat="1" applyFont="1"/>
  </cellXfs>
  <cellStyles count="53">
    <cellStyle name="20% - uthevingsfarge 1" xfId="20" builtinId="30" customBuiltin="1"/>
    <cellStyle name="20% - uthevingsfarge 2" xfId="24" builtinId="34" customBuiltin="1"/>
    <cellStyle name="20% - uthevingsfarge 3" xfId="28" builtinId="38" customBuiltin="1"/>
    <cellStyle name="20% - uthevingsfarge 4" xfId="32" builtinId="42" customBuiltin="1"/>
    <cellStyle name="20% - uthevingsfarge 5" xfId="36" builtinId="46" customBuiltin="1"/>
    <cellStyle name="20% - uthevingsfarge 6" xfId="40" builtinId="50" customBuiltin="1"/>
    <cellStyle name="40% - uthevingsfarge 1" xfId="21" builtinId="31" customBuiltin="1"/>
    <cellStyle name="40% - uthevingsfarge 2" xfId="25" builtinId="35" customBuiltin="1"/>
    <cellStyle name="40% - uthevingsfarge 3" xfId="29" builtinId="39" customBuiltin="1"/>
    <cellStyle name="40% - uthevingsfarge 4" xfId="33" builtinId="43" customBuiltin="1"/>
    <cellStyle name="40% - uthevingsfarge 5" xfId="37" builtinId="47" customBuiltin="1"/>
    <cellStyle name="40% - uthevingsfarge 6" xfId="41" builtinId="51" customBuiltin="1"/>
    <cellStyle name="60% - uthevingsfarge 1" xfId="22" builtinId="32" customBuiltin="1"/>
    <cellStyle name="60% - uthevingsfarge 2" xfId="26" builtinId="36" customBuiltin="1"/>
    <cellStyle name="60% - uthevingsfarge 3" xfId="30" builtinId="40" customBuiltin="1"/>
    <cellStyle name="60% - uthevingsfarge 4" xfId="34" builtinId="44" customBuiltin="1"/>
    <cellStyle name="60% - uthevingsfarge 5" xfId="38" builtinId="48" customBuiltin="1"/>
    <cellStyle name="60% -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mma 2" xfId="45"/>
    <cellStyle name="Komma 2 2" xfId="51"/>
    <cellStyle name="Komma 3" xfId="46"/>
    <cellStyle name="Kontrollcelle" xfId="14" builtinId="23" customBuiltin="1"/>
    <cellStyle name="Merknad" xfId="16" builtinId="10" customBuiltin="1"/>
    <cellStyle name="Normal" xfId="0" builtinId="0"/>
    <cellStyle name="Normal 2" xfId="43"/>
    <cellStyle name="Normal 2 2" xfId="49"/>
    <cellStyle name="Normal 3" xfId="48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52" builtinId="5"/>
    <cellStyle name="Prosent 2" xfId="44"/>
    <cellStyle name="Prosent 2 2" xfId="50"/>
    <cellStyle name="Prosent 3" xfId="47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1" sqref="B1"/>
    </sheetView>
  </sheetViews>
  <sheetFormatPr baseColWidth="10" defaultRowHeight="12.75" x14ac:dyDescent="0.2"/>
  <cols>
    <col min="1" max="1" width="6.7109375" style="30" customWidth="1"/>
    <col min="2" max="2" width="68.42578125" style="30" customWidth="1"/>
    <col min="3" max="5" width="18.140625" style="30" customWidth="1"/>
    <col min="6" max="16384" width="11.42578125" style="30"/>
  </cols>
  <sheetData>
    <row r="1" spans="1:6" ht="15.75" x14ac:dyDescent="0.25">
      <c r="B1" s="35" t="s">
        <v>129</v>
      </c>
    </row>
    <row r="2" spans="1:6" ht="15" x14ac:dyDescent="0.25">
      <c r="A2" s="32"/>
      <c r="C2" s="32"/>
      <c r="D2" s="32"/>
      <c r="E2" s="32"/>
    </row>
    <row r="3" spans="1:6" ht="15.75" x14ac:dyDescent="0.25">
      <c r="A3" s="32"/>
      <c r="B3" s="35" t="s">
        <v>185</v>
      </c>
      <c r="C3" s="32"/>
      <c r="D3" s="32"/>
      <c r="E3" s="32"/>
    </row>
    <row r="4" spans="1:6" ht="15.75" x14ac:dyDescent="0.25">
      <c r="A4" s="32"/>
      <c r="B4" s="35" t="s">
        <v>186</v>
      </c>
      <c r="C4" s="32"/>
      <c r="D4" s="32"/>
      <c r="E4" s="32"/>
    </row>
    <row r="5" spans="1:6" ht="27.75" customHeight="1" x14ac:dyDescent="0.2">
      <c r="A5" s="33"/>
      <c r="B5" s="33"/>
      <c r="C5" s="33" t="s">
        <v>31</v>
      </c>
      <c r="D5" s="34" t="s">
        <v>32</v>
      </c>
      <c r="E5" s="34" t="s">
        <v>33</v>
      </c>
    </row>
    <row r="6" spans="1:6" ht="15" x14ac:dyDescent="0.25">
      <c r="A6" s="81" t="s">
        <v>34</v>
      </c>
      <c r="B6" s="67" t="s">
        <v>35</v>
      </c>
      <c r="C6" s="59">
        <f t="shared" ref="C6:C11" si="0">SUM(D6:E6)</f>
        <v>2731344294</v>
      </c>
      <c r="D6" s="59">
        <v>1563231136</v>
      </c>
      <c r="E6" s="59">
        <v>1168113158</v>
      </c>
    </row>
    <row r="7" spans="1:6" ht="15" x14ac:dyDescent="0.25">
      <c r="A7" s="81" t="s">
        <v>36</v>
      </c>
      <c r="B7" s="67" t="s">
        <v>37</v>
      </c>
      <c r="C7" s="59">
        <f t="shared" si="0"/>
        <v>427623034</v>
      </c>
      <c r="D7" s="59">
        <v>111674608</v>
      </c>
      <c r="E7" s="59">
        <v>315948426</v>
      </c>
      <c r="F7" s="97"/>
    </row>
    <row r="8" spans="1:6" ht="15" x14ac:dyDescent="0.25">
      <c r="A8" s="81" t="s">
        <v>38</v>
      </c>
      <c r="B8" s="67" t="s">
        <v>39</v>
      </c>
      <c r="C8" s="59">
        <f t="shared" si="0"/>
        <v>2048091889</v>
      </c>
      <c r="D8" s="59">
        <v>1334991973</v>
      </c>
      <c r="E8" s="59">
        <v>713099916</v>
      </c>
    </row>
    <row r="9" spans="1:6" ht="15" x14ac:dyDescent="0.25">
      <c r="A9" s="81" t="s">
        <v>40</v>
      </c>
      <c r="B9" s="67" t="s">
        <v>41</v>
      </c>
      <c r="C9" s="59">
        <f t="shared" si="0"/>
        <v>16712717</v>
      </c>
      <c r="D9" s="59">
        <v>121780</v>
      </c>
      <c r="E9" s="59">
        <v>16590937</v>
      </c>
    </row>
    <row r="10" spans="1:6" ht="15" x14ac:dyDescent="0.25">
      <c r="A10" s="81" t="s">
        <v>42</v>
      </c>
      <c r="B10" s="67" t="s">
        <v>43</v>
      </c>
      <c r="C10" s="59">
        <f t="shared" si="0"/>
        <v>225617689</v>
      </c>
      <c r="D10" s="59">
        <v>116442775</v>
      </c>
      <c r="E10" s="59">
        <v>109174914</v>
      </c>
    </row>
    <row r="11" spans="1:6" ht="15" x14ac:dyDescent="0.25">
      <c r="A11" s="81" t="s">
        <v>44</v>
      </c>
      <c r="B11" s="67" t="s">
        <v>45</v>
      </c>
      <c r="C11" s="59">
        <f t="shared" si="0"/>
        <v>13298965</v>
      </c>
      <c r="D11" s="59"/>
      <c r="E11" s="59">
        <v>13298965</v>
      </c>
    </row>
    <row r="12" spans="1:6" ht="15" x14ac:dyDescent="0.25">
      <c r="A12" s="81"/>
      <c r="B12" s="67"/>
      <c r="C12" s="59"/>
      <c r="D12" s="59"/>
      <c r="E12" s="59"/>
    </row>
    <row r="13" spans="1:6" ht="15" x14ac:dyDescent="0.25">
      <c r="A13" s="81" t="s">
        <v>46</v>
      </c>
      <c r="B13" s="67" t="s">
        <v>47</v>
      </c>
      <c r="C13" s="59">
        <f>SUM(D13:E13)</f>
        <v>2433450304</v>
      </c>
      <c r="D13" s="59">
        <v>1313698575</v>
      </c>
      <c r="E13" s="59">
        <v>1119751729</v>
      </c>
    </row>
    <row r="14" spans="1:6" ht="15" x14ac:dyDescent="0.25">
      <c r="A14" s="81" t="s">
        <v>48</v>
      </c>
      <c r="B14" s="67" t="s">
        <v>49</v>
      </c>
      <c r="C14" s="59">
        <f>SUM(D14:E14)</f>
        <v>1375225197</v>
      </c>
      <c r="D14" s="59">
        <v>894584086</v>
      </c>
      <c r="E14" s="59">
        <v>480641111</v>
      </c>
    </row>
    <row r="15" spans="1:6" ht="15" x14ac:dyDescent="0.25">
      <c r="A15" s="81" t="s">
        <v>50</v>
      </c>
      <c r="B15" s="67" t="s">
        <v>51</v>
      </c>
      <c r="C15" s="59">
        <f>SUM(D15:E15)</f>
        <v>56300328</v>
      </c>
      <c r="D15" s="59">
        <v>32759835</v>
      </c>
      <c r="E15" s="59">
        <v>23540493</v>
      </c>
    </row>
    <row r="16" spans="1:6" ht="15" x14ac:dyDescent="0.25">
      <c r="A16" s="81" t="s">
        <v>52</v>
      </c>
      <c r="B16" s="67" t="s">
        <v>53</v>
      </c>
      <c r="C16" s="59">
        <f>SUM(D16:E16)</f>
        <v>1001924779</v>
      </c>
      <c r="D16" s="59">
        <v>386354654</v>
      </c>
      <c r="E16" s="59">
        <v>615570125</v>
      </c>
    </row>
    <row r="17" spans="1:5" ht="15" x14ac:dyDescent="0.25">
      <c r="A17" s="81"/>
      <c r="B17" s="67"/>
      <c r="C17" s="59"/>
      <c r="D17" s="59"/>
      <c r="E17" s="59"/>
    </row>
    <row r="18" spans="1:5" ht="15" x14ac:dyDescent="0.25">
      <c r="A18" s="81" t="s">
        <v>54</v>
      </c>
      <c r="B18" s="67" t="s">
        <v>55</v>
      </c>
      <c r="C18" s="59">
        <f>SUM(D18:E18)</f>
        <v>297893990</v>
      </c>
      <c r="D18" s="59">
        <v>249532561</v>
      </c>
      <c r="E18" s="59">
        <v>48361429</v>
      </c>
    </row>
    <row r="19" spans="1:5" ht="15" x14ac:dyDescent="0.25">
      <c r="A19" s="81"/>
      <c r="B19" s="67"/>
      <c r="C19" s="59"/>
      <c r="D19" s="59"/>
      <c r="E19" s="59"/>
    </row>
    <row r="20" spans="1:5" ht="15" x14ac:dyDescent="0.25">
      <c r="A20" s="81" t="s">
        <v>56</v>
      </c>
      <c r="B20" s="67" t="s">
        <v>57</v>
      </c>
      <c r="C20" s="59">
        <f>SUM(D20:E20)</f>
        <v>13597258</v>
      </c>
      <c r="D20" s="59">
        <v>7729951</v>
      </c>
      <c r="E20" s="59">
        <v>5867307</v>
      </c>
    </row>
    <row r="21" spans="1:5" ht="15" x14ac:dyDescent="0.25">
      <c r="A21" s="81" t="s">
        <v>58</v>
      </c>
      <c r="B21" s="67" t="s">
        <v>59</v>
      </c>
      <c r="C21" s="59">
        <f>SUM(D21:E21)</f>
        <v>41813493</v>
      </c>
      <c r="D21" s="59">
        <v>24180771</v>
      </c>
      <c r="E21" s="86">
        <v>17632722</v>
      </c>
    </row>
    <row r="22" spans="1:5" ht="15" x14ac:dyDescent="0.25">
      <c r="A22" s="81" t="s">
        <v>60</v>
      </c>
      <c r="B22" s="67" t="s">
        <v>61</v>
      </c>
      <c r="C22" s="59">
        <f>SUM(D22:E22)</f>
        <v>28216235</v>
      </c>
      <c r="D22" s="59">
        <v>16450820</v>
      </c>
      <c r="E22" s="59">
        <v>11765415</v>
      </c>
    </row>
    <row r="23" spans="1:5" ht="15" x14ac:dyDescent="0.25">
      <c r="A23" s="81"/>
      <c r="B23" s="67"/>
      <c r="C23" s="59"/>
      <c r="D23" s="59"/>
      <c r="E23" s="59"/>
    </row>
    <row r="24" spans="1:5" ht="15" x14ac:dyDescent="0.25">
      <c r="A24" s="81" t="s">
        <v>62</v>
      </c>
      <c r="B24" s="67" t="s">
        <v>63</v>
      </c>
      <c r="C24" s="59">
        <f>SUM(D24:E24)</f>
        <v>311491248</v>
      </c>
      <c r="D24" s="59">
        <v>257262512</v>
      </c>
      <c r="E24" s="59">
        <v>54228736</v>
      </c>
    </row>
    <row r="25" spans="1:5" ht="15" x14ac:dyDescent="0.25">
      <c r="A25" s="81" t="s">
        <v>64</v>
      </c>
      <c r="B25" s="67" t="s">
        <v>65</v>
      </c>
      <c r="C25" s="59">
        <f>SUM(D25:E25)</f>
        <v>79396355</v>
      </c>
      <c r="D25" s="59">
        <v>54784431</v>
      </c>
      <c r="E25" s="59">
        <v>24611924</v>
      </c>
    </row>
    <row r="26" spans="1:5" ht="15" x14ac:dyDescent="0.25">
      <c r="A26" s="81"/>
      <c r="B26" s="67"/>
      <c r="C26" s="59"/>
      <c r="D26" s="59"/>
      <c r="E26" s="59"/>
    </row>
    <row r="27" spans="1:5" ht="15" x14ac:dyDescent="0.25">
      <c r="A27" s="81" t="s">
        <v>66</v>
      </c>
      <c r="B27" s="67" t="s">
        <v>67</v>
      </c>
      <c r="C27" s="59">
        <f>SUM(D27:E27)</f>
        <v>232094893</v>
      </c>
      <c r="D27" s="59">
        <v>202478081</v>
      </c>
      <c r="E27" s="59">
        <v>29616812</v>
      </c>
    </row>
    <row r="28" spans="1:5" ht="15" x14ac:dyDescent="0.25">
      <c r="A28" s="81"/>
      <c r="B28" s="67"/>
      <c r="C28" s="59"/>
      <c r="D28" s="59"/>
      <c r="E28" s="59"/>
    </row>
    <row r="29" spans="1:5" ht="15" x14ac:dyDescent="0.25">
      <c r="A29" s="81" t="s">
        <v>68</v>
      </c>
      <c r="B29" s="67" t="s">
        <v>69</v>
      </c>
      <c r="C29" s="59">
        <f>SUM(D29:E29)</f>
        <v>227043102</v>
      </c>
      <c r="D29" s="59">
        <v>202696657</v>
      </c>
      <c r="E29" s="59">
        <v>24346445</v>
      </c>
    </row>
    <row r="30" spans="1:5" ht="15" x14ac:dyDescent="0.25">
      <c r="A30" s="81" t="s">
        <v>70</v>
      </c>
      <c r="B30" s="67" t="s">
        <v>71</v>
      </c>
      <c r="C30" s="59">
        <f>SUM(D30:E30)</f>
        <v>41673420</v>
      </c>
      <c r="D30" s="59">
        <v>38550350</v>
      </c>
      <c r="E30" s="59">
        <v>3123070</v>
      </c>
    </row>
    <row r="31" spans="1:5" ht="18" customHeight="1" x14ac:dyDescent="0.25">
      <c r="A31" s="81" t="s">
        <v>72</v>
      </c>
      <c r="B31" s="67" t="s">
        <v>73</v>
      </c>
      <c r="C31" s="59">
        <f>SUM(D31:E31)</f>
        <v>16600666</v>
      </c>
      <c r="D31" s="59">
        <v>16360013</v>
      </c>
      <c r="E31" s="59">
        <v>240653</v>
      </c>
    </row>
    <row r="32" spans="1:5" x14ac:dyDescent="0.2">
      <c r="A32" s="82" t="s">
        <v>74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33" sqref="D33"/>
    </sheetView>
  </sheetViews>
  <sheetFormatPr baseColWidth="10" defaultRowHeight="12.75" x14ac:dyDescent="0.2"/>
  <cols>
    <col min="1" max="1" width="8.42578125" style="30" customWidth="1"/>
    <col min="2" max="2" width="45.5703125" style="30" customWidth="1"/>
    <col min="3" max="5" width="19.140625" style="30" customWidth="1"/>
    <col min="6" max="16384" width="11.42578125" style="30"/>
  </cols>
  <sheetData>
    <row r="1" spans="1:5" ht="15.75" x14ac:dyDescent="0.25">
      <c r="A1" s="36"/>
      <c r="B1" s="41" t="s">
        <v>129</v>
      </c>
      <c r="C1" s="36"/>
      <c r="D1" s="36"/>
      <c r="E1" s="36"/>
    </row>
    <row r="2" spans="1:5" ht="15.75" x14ac:dyDescent="0.25">
      <c r="A2" s="36"/>
      <c r="B2" s="41"/>
      <c r="C2" s="36"/>
      <c r="D2" s="36"/>
      <c r="E2" s="36"/>
    </row>
    <row r="3" spans="1:5" ht="15.75" x14ac:dyDescent="0.25">
      <c r="A3" s="36"/>
      <c r="B3" s="41" t="s">
        <v>187</v>
      </c>
      <c r="C3" s="36"/>
      <c r="D3" s="36"/>
      <c r="E3" s="36"/>
    </row>
    <row r="4" spans="1:5" ht="27.75" customHeight="1" x14ac:dyDescent="0.2">
      <c r="A4" s="39"/>
      <c r="B4" s="39"/>
      <c r="C4" s="39" t="s">
        <v>31</v>
      </c>
      <c r="D4" s="40" t="s">
        <v>32</v>
      </c>
      <c r="E4" s="40" t="s">
        <v>33</v>
      </c>
    </row>
    <row r="5" spans="1:5" ht="15" x14ac:dyDescent="0.25">
      <c r="A5" s="81" t="s">
        <v>75</v>
      </c>
      <c r="B5" s="67" t="s">
        <v>76</v>
      </c>
      <c r="C5" s="59">
        <f>SUM(D5:E5)</f>
        <v>2659981475</v>
      </c>
      <c r="D5" s="59">
        <v>1522071361</v>
      </c>
      <c r="E5" s="71">
        <v>1137910114</v>
      </c>
    </row>
    <row r="6" spans="1:5" ht="15" x14ac:dyDescent="0.25">
      <c r="A6" s="81"/>
      <c r="B6" s="67"/>
      <c r="C6" s="59"/>
      <c r="D6" s="59"/>
      <c r="E6" s="71"/>
    </row>
    <row r="7" spans="1:5" ht="15" x14ac:dyDescent="0.25">
      <c r="A7" s="81" t="s">
        <v>77</v>
      </c>
      <c r="B7" s="67" t="s">
        <v>78</v>
      </c>
      <c r="C7" s="59">
        <f>SUM(D7:E7)</f>
        <v>728331332</v>
      </c>
      <c r="D7" s="59">
        <v>293372167</v>
      </c>
      <c r="E7" s="59">
        <v>434959165</v>
      </c>
    </row>
    <row r="8" spans="1:5" ht="15" x14ac:dyDescent="0.25">
      <c r="A8" s="81" t="s">
        <v>79</v>
      </c>
      <c r="B8" s="67" t="s">
        <v>80</v>
      </c>
      <c r="C8" s="59">
        <f>SUM(D8:E8)</f>
        <v>234374935</v>
      </c>
      <c r="D8" s="59">
        <v>105577309</v>
      </c>
      <c r="E8" s="59">
        <v>128797626</v>
      </c>
    </row>
    <row r="9" spans="1:5" ht="15" x14ac:dyDescent="0.25">
      <c r="A9" s="81" t="s">
        <v>81</v>
      </c>
      <c r="B9" s="67" t="s">
        <v>82</v>
      </c>
      <c r="C9" s="59">
        <f>SUM(D9:E9)</f>
        <v>126564098</v>
      </c>
      <c r="D9" s="59">
        <v>23372677</v>
      </c>
      <c r="E9" s="59">
        <v>103191421</v>
      </c>
    </row>
    <row r="10" spans="1:5" ht="15" x14ac:dyDescent="0.25">
      <c r="A10" s="81" t="s">
        <v>83</v>
      </c>
      <c r="B10" s="67" t="s">
        <v>84</v>
      </c>
      <c r="C10" s="59">
        <f>SUM(D10:E10)</f>
        <v>71536923</v>
      </c>
      <c r="D10" s="59">
        <v>67329006</v>
      </c>
      <c r="E10" s="59">
        <v>4207917</v>
      </c>
    </row>
    <row r="11" spans="1:5" ht="15" x14ac:dyDescent="0.25">
      <c r="A11" s="81" t="s">
        <v>85</v>
      </c>
      <c r="B11" s="67" t="s">
        <v>86</v>
      </c>
      <c r="C11" s="59">
        <f>SUM(D11:E11)</f>
        <v>36273914</v>
      </c>
      <c r="D11" s="52">
        <v>14875626</v>
      </c>
      <c r="E11" s="52">
        <v>21398288</v>
      </c>
    </row>
    <row r="12" spans="1:5" ht="15" x14ac:dyDescent="0.25">
      <c r="A12" s="81"/>
      <c r="B12" s="67"/>
      <c r="C12" s="59"/>
      <c r="D12" s="52"/>
      <c r="E12" s="52"/>
    </row>
    <row r="13" spans="1:5" ht="15" x14ac:dyDescent="0.25">
      <c r="A13" s="81" t="s">
        <v>87</v>
      </c>
      <c r="B13" s="67" t="s">
        <v>88</v>
      </c>
      <c r="C13" s="59">
        <f>SUM(D13:E13)</f>
        <v>79827781</v>
      </c>
      <c r="D13" s="52">
        <v>35284543</v>
      </c>
      <c r="E13" s="52">
        <v>44543238</v>
      </c>
    </row>
    <row r="14" spans="1:5" ht="15" x14ac:dyDescent="0.25">
      <c r="A14" s="81" t="s">
        <v>89</v>
      </c>
      <c r="B14" s="67" t="s">
        <v>90</v>
      </c>
      <c r="C14" s="59">
        <f>SUM(D14:E14)</f>
        <v>9255419</v>
      </c>
      <c r="D14" s="52">
        <v>819475</v>
      </c>
      <c r="E14" s="52">
        <v>8435944</v>
      </c>
    </row>
    <row r="15" spans="1:5" ht="15" x14ac:dyDescent="0.25">
      <c r="A15" s="81" t="s">
        <v>91</v>
      </c>
      <c r="B15" s="67" t="s">
        <v>92</v>
      </c>
      <c r="C15" s="59">
        <f>SUM(D15:E15)</f>
        <v>57343252</v>
      </c>
      <c r="D15" s="52">
        <v>34034944</v>
      </c>
      <c r="E15" s="52">
        <v>23308308</v>
      </c>
    </row>
    <row r="16" spans="1:5" ht="15" x14ac:dyDescent="0.25">
      <c r="A16" s="81" t="s">
        <v>93</v>
      </c>
      <c r="B16" s="67" t="s">
        <v>94</v>
      </c>
      <c r="C16" s="59">
        <f>SUM(D16:E16)</f>
        <v>13229110</v>
      </c>
      <c r="D16" s="52">
        <v>430124</v>
      </c>
      <c r="E16" s="52">
        <v>12798986</v>
      </c>
    </row>
    <row r="17" spans="1:5" ht="15" x14ac:dyDescent="0.25">
      <c r="A17" s="81"/>
      <c r="B17" s="67"/>
      <c r="C17" s="59"/>
      <c r="D17" s="52"/>
      <c r="E17" s="52"/>
    </row>
    <row r="18" spans="1:5" ht="15" x14ac:dyDescent="0.25">
      <c r="A18" s="81" t="s">
        <v>95</v>
      </c>
      <c r="B18" s="67" t="s">
        <v>96</v>
      </c>
      <c r="C18" s="59">
        <f>SUM(D18:E18)</f>
        <v>414128616</v>
      </c>
      <c r="D18" s="52">
        <v>152510315</v>
      </c>
      <c r="E18" s="52">
        <v>261618301</v>
      </c>
    </row>
    <row r="19" spans="1:5" ht="15" x14ac:dyDescent="0.25">
      <c r="A19" s="81" t="s">
        <v>97</v>
      </c>
      <c r="B19" s="67" t="s">
        <v>98</v>
      </c>
      <c r="C19" s="59">
        <f>SUM(D19:E19)</f>
        <v>122188084</v>
      </c>
      <c r="D19" s="52">
        <v>86465234</v>
      </c>
      <c r="E19" s="52">
        <v>35722850</v>
      </c>
    </row>
    <row r="20" spans="1:5" ht="15" x14ac:dyDescent="0.25">
      <c r="A20" s="81" t="s">
        <v>99</v>
      </c>
      <c r="B20" s="67" t="s">
        <v>100</v>
      </c>
      <c r="C20" s="59">
        <f>SUM(D20:E20)</f>
        <v>79329418</v>
      </c>
      <c r="D20" s="52">
        <v>55290971</v>
      </c>
      <c r="E20" s="52">
        <v>24038447</v>
      </c>
    </row>
    <row r="21" spans="1:5" ht="15" x14ac:dyDescent="0.25">
      <c r="A21" s="81" t="s">
        <v>101</v>
      </c>
      <c r="B21" s="67" t="s">
        <v>102</v>
      </c>
      <c r="C21" s="59">
        <f>SUM(D21:E21)</f>
        <v>212611114</v>
      </c>
      <c r="D21" s="52">
        <v>10754110</v>
      </c>
      <c r="E21" s="52">
        <v>201857004</v>
      </c>
    </row>
    <row r="22" spans="1:5" ht="15" x14ac:dyDescent="0.25">
      <c r="A22" s="81"/>
      <c r="B22" s="67"/>
      <c r="C22" s="59"/>
      <c r="D22" s="52"/>
      <c r="E22" s="52"/>
    </row>
    <row r="23" spans="1:5" ht="15" x14ac:dyDescent="0.25">
      <c r="A23" s="81" t="s">
        <v>103</v>
      </c>
      <c r="B23" s="67" t="s">
        <v>104</v>
      </c>
      <c r="C23" s="59">
        <f>SUM(D23:E23)</f>
        <v>1931650143</v>
      </c>
      <c r="D23" s="52">
        <v>1228699194</v>
      </c>
      <c r="E23" s="52">
        <v>702950949</v>
      </c>
    </row>
    <row r="24" spans="1:5" ht="15" x14ac:dyDescent="0.25">
      <c r="A24" s="81"/>
      <c r="B24" s="67"/>
      <c r="C24" s="59"/>
      <c r="D24" s="52"/>
      <c r="E24" s="52"/>
    </row>
    <row r="25" spans="1:5" ht="15" x14ac:dyDescent="0.25">
      <c r="A25" s="81" t="s">
        <v>105</v>
      </c>
      <c r="B25" s="67" t="s">
        <v>106</v>
      </c>
      <c r="C25" s="59">
        <f>SUM(D25:E25)</f>
        <v>1261241419</v>
      </c>
      <c r="D25" s="52">
        <v>865794180</v>
      </c>
      <c r="E25" s="52">
        <v>395447239</v>
      </c>
    </row>
    <row r="26" spans="1:5" ht="15" x14ac:dyDescent="0.25">
      <c r="A26" s="81" t="s">
        <v>107</v>
      </c>
      <c r="B26" s="67" t="s">
        <v>108</v>
      </c>
      <c r="C26" s="59">
        <f>SUM(D26:E26)</f>
        <v>600395406</v>
      </c>
      <c r="D26" s="52">
        <v>379546025</v>
      </c>
      <c r="E26" s="52">
        <v>220849381</v>
      </c>
    </row>
    <row r="27" spans="1:5" ht="15" x14ac:dyDescent="0.25">
      <c r="A27" s="81" t="s">
        <v>109</v>
      </c>
      <c r="B27" s="67" t="s">
        <v>110</v>
      </c>
      <c r="C27" s="59">
        <f>SUM(D27:E27)</f>
        <v>342357059</v>
      </c>
      <c r="D27" s="52">
        <v>321935479</v>
      </c>
      <c r="E27" s="52">
        <v>20421580</v>
      </c>
    </row>
    <row r="28" spans="1:5" ht="15" x14ac:dyDescent="0.25">
      <c r="A28" s="81" t="s">
        <v>111</v>
      </c>
      <c r="B28" s="67" t="s">
        <v>112</v>
      </c>
      <c r="C28" s="59">
        <f>SUM(D28:E28)</f>
        <v>35985461</v>
      </c>
      <c r="D28" s="52">
        <v>22943636</v>
      </c>
      <c r="E28" s="52">
        <v>13041825</v>
      </c>
    </row>
    <row r="29" spans="1:5" ht="15" x14ac:dyDescent="0.25">
      <c r="A29" s="81" t="s">
        <v>113</v>
      </c>
      <c r="B29" s="67" t="s">
        <v>114</v>
      </c>
      <c r="C29" s="59">
        <f>SUM(D29:E29)</f>
        <v>282503493</v>
      </c>
      <c r="D29" s="52">
        <v>141369040</v>
      </c>
      <c r="E29" s="52">
        <v>141134453</v>
      </c>
    </row>
    <row r="30" spans="1:5" ht="15" x14ac:dyDescent="0.25">
      <c r="A30" s="81"/>
      <c r="B30" s="67"/>
      <c r="C30" s="59"/>
      <c r="D30" s="52"/>
      <c r="E30" s="52"/>
    </row>
    <row r="31" spans="1:5" ht="15" x14ac:dyDescent="0.25">
      <c r="A31" s="81" t="s">
        <v>115</v>
      </c>
      <c r="B31" s="67" t="s">
        <v>116</v>
      </c>
      <c r="C31" s="59">
        <f>SUM(D31:E31)</f>
        <v>31882166</v>
      </c>
      <c r="D31" s="52">
        <v>7422209</v>
      </c>
      <c r="E31" s="52">
        <v>24459957</v>
      </c>
    </row>
    <row r="32" spans="1:5" ht="15" x14ac:dyDescent="0.25">
      <c r="A32" s="81" t="s">
        <v>117</v>
      </c>
      <c r="B32" s="67" t="s">
        <v>118</v>
      </c>
      <c r="C32" s="59">
        <f>SUM(D32:E32)</f>
        <v>24707071</v>
      </c>
      <c r="D32" s="52">
        <v>247114</v>
      </c>
      <c r="E32" s="52">
        <v>24459957</v>
      </c>
    </row>
    <row r="33" spans="1:5" ht="15" x14ac:dyDescent="0.25">
      <c r="A33" s="81" t="s">
        <v>119</v>
      </c>
      <c r="B33" s="67" t="s">
        <v>120</v>
      </c>
      <c r="C33" s="59">
        <f>SUM(D33:E33)</f>
        <v>7175095</v>
      </c>
      <c r="D33" s="52">
        <v>7175095</v>
      </c>
      <c r="E33" s="52">
        <v>0</v>
      </c>
    </row>
    <row r="34" spans="1:5" ht="15" x14ac:dyDescent="0.25">
      <c r="A34" s="81" t="s">
        <v>121</v>
      </c>
      <c r="B34" s="67" t="s">
        <v>122</v>
      </c>
      <c r="C34" s="59">
        <f>SUM(D34:E34)</f>
        <v>0</v>
      </c>
      <c r="D34" s="52">
        <v>0</v>
      </c>
      <c r="E34" s="52">
        <v>0</v>
      </c>
    </row>
    <row r="35" spans="1:5" ht="15" x14ac:dyDescent="0.25">
      <c r="A35" s="81"/>
      <c r="B35" s="67"/>
      <c r="C35" s="59"/>
      <c r="D35" s="52"/>
      <c r="E35" s="52"/>
    </row>
    <row r="36" spans="1:5" ht="15" x14ac:dyDescent="0.25">
      <c r="A36" s="81" t="s">
        <v>123</v>
      </c>
      <c r="B36" s="67" t="s">
        <v>124</v>
      </c>
      <c r="C36" s="59">
        <f>SUM(D36:E36)</f>
        <v>638526558</v>
      </c>
      <c r="D36" s="52">
        <v>355482805</v>
      </c>
      <c r="E36" s="52">
        <v>283043753</v>
      </c>
    </row>
    <row r="37" spans="1:5" ht="15" x14ac:dyDescent="0.25">
      <c r="A37" s="81" t="s">
        <v>125</v>
      </c>
      <c r="B37" s="67" t="s">
        <v>126</v>
      </c>
      <c r="C37" s="59">
        <f>SUM(D37:E37)</f>
        <v>61734073</v>
      </c>
      <c r="D37" s="52">
        <v>33811749</v>
      </c>
      <c r="E37" s="52">
        <v>27922324</v>
      </c>
    </row>
    <row r="38" spans="1:5" ht="15" x14ac:dyDescent="0.25">
      <c r="A38" s="81" t="s">
        <v>127</v>
      </c>
      <c r="B38" s="67" t="s">
        <v>128</v>
      </c>
      <c r="C38" s="59">
        <f>SUM(D38:E38)</f>
        <v>576792485</v>
      </c>
      <c r="D38" s="52">
        <v>321671056</v>
      </c>
      <c r="E38" s="52">
        <v>255121429</v>
      </c>
    </row>
    <row r="39" spans="1:5" ht="15" x14ac:dyDescent="0.25">
      <c r="A39" s="83" t="s">
        <v>74</v>
      </c>
      <c r="B39" s="67"/>
      <c r="C39" s="72"/>
      <c r="D39" s="71"/>
      <c r="E39" s="37"/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H16" sqref="H16"/>
    </sheetView>
  </sheetViews>
  <sheetFormatPr baseColWidth="10" defaultRowHeight="12.75" x14ac:dyDescent="0.2"/>
  <cols>
    <col min="1" max="1" width="10" style="30" customWidth="1"/>
    <col min="2" max="2" width="33.5703125" style="30" customWidth="1"/>
    <col min="3" max="5" width="18" style="30" customWidth="1"/>
    <col min="6" max="16384" width="11.42578125" style="30"/>
  </cols>
  <sheetData>
    <row r="1" spans="1:8" ht="15.75" x14ac:dyDescent="0.25">
      <c r="B1" s="55" t="s">
        <v>129</v>
      </c>
    </row>
    <row r="3" spans="1:8" ht="15.75" x14ac:dyDescent="0.25">
      <c r="A3" s="42"/>
      <c r="B3" s="47" t="s">
        <v>188</v>
      </c>
      <c r="C3" s="47"/>
      <c r="D3" s="42"/>
      <c r="E3" s="42"/>
    </row>
    <row r="4" spans="1:8" ht="30.75" customHeight="1" x14ac:dyDescent="0.25">
      <c r="A4" s="42"/>
      <c r="B4" s="42"/>
      <c r="C4" s="45" t="s">
        <v>31</v>
      </c>
      <c r="D4" s="46" t="s">
        <v>32</v>
      </c>
      <c r="E4" s="46" t="s">
        <v>33</v>
      </c>
    </row>
    <row r="5" spans="1:8" ht="15" x14ac:dyDescent="0.25">
      <c r="A5" s="81" t="s">
        <v>130</v>
      </c>
      <c r="B5" s="67" t="s">
        <v>131</v>
      </c>
      <c r="C5" s="59">
        <f t="shared" ref="C5" si="0">SUM(D5:E5)</f>
        <v>2659981474</v>
      </c>
      <c r="D5" s="52">
        <v>1522071360</v>
      </c>
      <c r="E5" s="52">
        <v>1137910114</v>
      </c>
    </row>
    <row r="6" spans="1:8" ht="15" x14ac:dyDescent="0.25">
      <c r="A6" s="81"/>
      <c r="B6" s="67"/>
      <c r="C6" s="52"/>
      <c r="D6" s="52"/>
      <c r="E6" s="52"/>
    </row>
    <row r="7" spans="1:8" ht="15" x14ac:dyDescent="0.25">
      <c r="A7" s="81" t="s">
        <v>132</v>
      </c>
      <c r="B7" s="67" t="s">
        <v>133</v>
      </c>
      <c r="C7" s="59">
        <f>SUM(D7:E7)</f>
        <v>1002548634</v>
      </c>
      <c r="D7" s="52">
        <v>804369476</v>
      </c>
      <c r="E7" s="52">
        <v>198179158</v>
      </c>
    </row>
    <row r="8" spans="1:8" ht="15" x14ac:dyDescent="0.25">
      <c r="A8" s="81"/>
      <c r="B8" s="67"/>
      <c r="C8" s="52"/>
      <c r="D8" s="52"/>
      <c r="E8" s="52"/>
    </row>
    <row r="9" spans="1:8" ht="15" x14ac:dyDescent="0.25">
      <c r="A9" s="81" t="s">
        <v>134</v>
      </c>
      <c r="B9" s="67" t="s">
        <v>135</v>
      </c>
      <c r="C9" s="59">
        <f>SUM(D9:E9)</f>
        <v>945898034</v>
      </c>
      <c r="D9" s="52">
        <v>572749706</v>
      </c>
      <c r="E9" s="52">
        <v>373148328</v>
      </c>
    </row>
    <row r="10" spans="1:8" ht="15" x14ac:dyDescent="0.25">
      <c r="A10" s="81" t="s">
        <v>136</v>
      </c>
      <c r="B10" s="67" t="s">
        <v>137</v>
      </c>
      <c r="C10" s="59">
        <f>SUM(D10:E10)</f>
        <v>385888754</v>
      </c>
      <c r="D10" s="52">
        <v>300435764</v>
      </c>
      <c r="E10" s="52">
        <v>85452990</v>
      </c>
    </row>
    <row r="11" spans="1:8" ht="15" x14ac:dyDescent="0.25">
      <c r="A11" s="81" t="s">
        <v>138</v>
      </c>
      <c r="B11" s="67" t="s">
        <v>139</v>
      </c>
      <c r="C11" s="59">
        <f>SUM(D11:E11)</f>
        <v>455124516</v>
      </c>
      <c r="D11" s="52">
        <v>221985447</v>
      </c>
      <c r="E11" s="52">
        <v>233139069</v>
      </c>
    </row>
    <row r="12" spans="1:8" ht="15" x14ac:dyDescent="0.25">
      <c r="A12" s="81" t="s">
        <v>140</v>
      </c>
      <c r="B12" s="67" t="s">
        <v>141</v>
      </c>
      <c r="C12" s="59">
        <f>SUM(D12:E12)</f>
        <v>104884764</v>
      </c>
      <c r="D12" s="52">
        <v>50328495</v>
      </c>
      <c r="E12" s="52">
        <v>54556269</v>
      </c>
    </row>
    <row r="13" spans="1:8" ht="15" x14ac:dyDescent="0.25">
      <c r="A13" s="81"/>
      <c r="B13" s="67"/>
      <c r="C13" s="52"/>
      <c r="D13" s="52"/>
      <c r="E13" s="52"/>
    </row>
    <row r="14" spans="1:8" ht="15" x14ac:dyDescent="0.25">
      <c r="A14" s="81" t="s">
        <v>142</v>
      </c>
      <c r="B14" s="67" t="s">
        <v>143</v>
      </c>
      <c r="C14" s="59">
        <f>SUM(D14:E14)</f>
        <v>56650600</v>
      </c>
      <c r="D14" s="52">
        <v>231619770</v>
      </c>
      <c r="E14" s="52">
        <v>-174969170</v>
      </c>
    </row>
    <row r="15" spans="1:8" ht="15" x14ac:dyDescent="0.25">
      <c r="A15" s="81"/>
      <c r="B15" s="67"/>
      <c r="C15" s="52"/>
      <c r="D15" s="52"/>
      <c r="E15" s="52"/>
    </row>
    <row r="16" spans="1:8" ht="15" x14ac:dyDescent="0.25">
      <c r="A16" s="81" t="s">
        <v>144</v>
      </c>
      <c r="B16" s="67" t="s">
        <v>145</v>
      </c>
      <c r="C16" s="59">
        <f>SUM(D16:E16)</f>
        <v>1657432840</v>
      </c>
      <c r="D16" s="52">
        <v>717701884</v>
      </c>
      <c r="E16" s="52">
        <v>939730956</v>
      </c>
      <c r="H16" s="97">
        <f>31/105</f>
        <v>0.29523809523809524</v>
      </c>
    </row>
    <row r="17" spans="1:5" ht="15" x14ac:dyDescent="0.25">
      <c r="A17" s="81"/>
      <c r="B17" s="67"/>
      <c r="C17" s="52"/>
      <c r="D17" s="52"/>
      <c r="E17" s="52"/>
    </row>
    <row r="18" spans="1:5" ht="15" x14ac:dyDescent="0.25">
      <c r="A18" s="81" t="s">
        <v>146</v>
      </c>
      <c r="B18" s="67" t="s">
        <v>147</v>
      </c>
      <c r="C18" s="59">
        <f>SUM(D18:E18)</f>
        <v>275614233</v>
      </c>
      <c r="D18" s="52">
        <v>27449163</v>
      </c>
      <c r="E18" s="52">
        <v>248165070</v>
      </c>
    </row>
    <row r="19" spans="1:5" ht="15" x14ac:dyDescent="0.25">
      <c r="A19" s="81" t="s">
        <v>148</v>
      </c>
      <c r="B19" s="67" t="s">
        <v>149</v>
      </c>
      <c r="C19" s="59">
        <f>SUM(D19:E19)</f>
        <v>3617436</v>
      </c>
      <c r="D19" s="52">
        <v>3355344</v>
      </c>
      <c r="E19" s="52">
        <v>262092</v>
      </c>
    </row>
    <row r="20" spans="1:5" ht="15" x14ac:dyDescent="0.25">
      <c r="A20" s="81" t="s">
        <v>150</v>
      </c>
      <c r="B20" s="67" t="s">
        <v>151</v>
      </c>
      <c r="C20" s="59">
        <f>SUM(D20:E20)</f>
        <v>271996797</v>
      </c>
      <c r="D20" s="52">
        <v>24093819</v>
      </c>
      <c r="E20" s="52">
        <v>247902978</v>
      </c>
    </row>
    <row r="21" spans="1:5" ht="15" x14ac:dyDescent="0.25">
      <c r="A21" s="81"/>
      <c r="B21" s="67"/>
      <c r="C21" s="52"/>
      <c r="D21" s="52"/>
      <c r="E21" s="52"/>
    </row>
    <row r="22" spans="1:5" ht="15" x14ac:dyDescent="0.25">
      <c r="A22" s="81" t="s">
        <v>152</v>
      </c>
      <c r="B22" s="67" t="s">
        <v>153</v>
      </c>
      <c r="C22" s="59">
        <f>SUM(D22:E22)</f>
        <v>263048477</v>
      </c>
      <c r="D22" s="52">
        <v>69077942</v>
      </c>
      <c r="E22" s="52">
        <v>193970535</v>
      </c>
    </row>
    <row r="23" spans="1:5" ht="15" x14ac:dyDescent="0.25">
      <c r="A23" s="81" t="s">
        <v>154</v>
      </c>
      <c r="B23" s="67" t="s">
        <v>155</v>
      </c>
      <c r="C23" s="59">
        <f>SUM(D23:E23)</f>
        <v>333358</v>
      </c>
      <c r="D23" s="52">
        <v>0</v>
      </c>
      <c r="E23" s="52">
        <v>333358</v>
      </c>
    </row>
    <row r="24" spans="1:5" ht="15" x14ac:dyDescent="0.25">
      <c r="A24" s="81" t="s">
        <v>156</v>
      </c>
      <c r="B24" s="67" t="s">
        <v>157</v>
      </c>
      <c r="C24" s="59">
        <f>SUM(D24:E24)</f>
        <v>166512266</v>
      </c>
      <c r="D24" s="52">
        <v>30435872</v>
      </c>
      <c r="E24" s="52">
        <v>136076394</v>
      </c>
    </row>
    <row r="25" spans="1:5" ht="15" x14ac:dyDescent="0.25">
      <c r="A25" s="81" t="s">
        <v>158</v>
      </c>
      <c r="B25" s="67" t="s">
        <v>159</v>
      </c>
      <c r="C25" s="59">
        <f>SUM(D25:E25)</f>
        <v>96202853</v>
      </c>
      <c r="D25" s="52">
        <v>38642070</v>
      </c>
      <c r="E25" s="52">
        <v>57560783</v>
      </c>
    </row>
    <row r="26" spans="1:5" ht="15" x14ac:dyDescent="0.25">
      <c r="A26" s="81"/>
      <c r="B26" s="67"/>
      <c r="C26" s="52"/>
      <c r="D26" s="52"/>
      <c r="E26" s="52"/>
    </row>
    <row r="27" spans="1:5" ht="15" x14ac:dyDescent="0.25">
      <c r="A27" s="81" t="s">
        <v>160</v>
      </c>
      <c r="B27" s="67" t="s">
        <v>161</v>
      </c>
      <c r="C27" s="59">
        <f t="shared" ref="C27:C35" si="1">SUM(D27:E27)</f>
        <v>1118770130</v>
      </c>
      <c r="D27" s="52">
        <v>621174779</v>
      </c>
      <c r="E27" s="52">
        <v>497595351</v>
      </c>
    </row>
    <row r="28" spans="1:5" ht="15" x14ac:dyDescent="0.25">
      <c r="A28" s="81" t="s">
        <v>162</v>
      </c>
      <c r="B28" s="67" t="s">
        <v>163</v>
      </c>
      <c r="C28" s="59">
        <f t="shared" si="1"/>
        <v>22950165</v>
      </c>
      <c r="D28" s="52">
        <v>21209516</v>
      </c>
      <c r="E28" s="52">
        <v>1740649</v>
      </c>
    </row>
    <row r="29" spans="1:5" ht="15" x14ac:dyDescent="0.25">
      <c r="A29" s="81" t="s">
        <v>164</v>
      </c>
      <c r="B29" s="67" t="s">
        <v>157</v>
      </c>
      <c r="C29" s="59">
        <f t="shared" si="1"/>
        <v>106996291</v>
      </c>
      <c r="D29" s="52">
        <v>57228444</v>
      </c>
      <c r="E29" s="52">
        <v>49767847</v>
      </c>
    </row>
    <row r="30" spans="1:5" ht="15" x14ac:dyDescent="0.25">
      <c r="A30" s="81" t="s">
        <v>165</v>
      </c>
      <c r="B30" s="67" t="s">
        <v>112</v>
      </c>
      <c r="C30" s="59">
        <f t="shared" si="1"/>
        <v>26335046</v>
      </c>
      <c r="D30" s="52">
        <v>19544927</v>
      </c>
      <c r="E30" s="52">
        <v>6790119</v>
      </c>
    </row>
    <row r="31" spans="1:5" ht="15" x14ac:dyDescent="0.25">
      <c r="A31" s="81" t="s">
        <v>166</v>
      </c>
      <c r="B31" s="67" t="s">
        <v>167</v>
      </c>
      <c r="C31" s="59">
        <f t="shared" si="1"/>
        <v>366795348</v>
      </c>
      <c r="D31" s="52">
        <v>85143757</v>
      </c>
      <c r="E31" s="52">
        <v>281651591</v>
      </c>
    </row>
    <row r="32" spans="1:5" ht="15" x14ac:dyDescent="0.25">
      <c r="A32" s="81" t="s">
        <v>168</v>
      </c>
      <c r="B32" s="67" t="s">
        <v>169</v>
      </c>
      <c r="C32" s="59">
        <f t="shared" si="1"/>
        <v>50874010</v>
      </c>
      <c r="D32" s="52">
        <v>41403076</v>
      </c>
      <c r="E32" s="52">
        <v>9470934</v>
      </c>
    </row>
    <row r="33" spans="1:5" ht="15" x14ac:dyDescent="0.25">
      <c r="A33" s="81" t="s">
        <v>170</v>
      </c>
      <c r="B33" s="67" t="s">
        <v>171</v>
      </c>
      <c r="C33" s="59">
        <f t="shared" si="1"/>
        <v>64328028</v>
      </c>
      <c r="D33" s="52">
        <v>37669646</v>
      </c>
      <c r="E33" s="52">
        <v>26658382</v>
      </c>
    </row>
    <row r="34" spans="1:5" ht="15" x14ac:dyDescent="0.25">
      <c r="A34" s="81" t="s">
        <v>172</v>
      </c>
      <c r="B34" s="67" t="s">
        <v>173</v>
      </c>
      <c r="C34" s="59">
        <f t="shared" si="1"/>
        <v>52916474</v>
      </c>
      <c r="D34" s="52">
        <v>30511394</v>
      </c>
      <c r="E34" s="52">
        <v>22405080</v>
      </c>
    </row>
    <row r="35" spans="1:5" ht="15" x14ac:dyDescent="0.25">
      <c r="A35" s="81" t="s">
        <v>174</v>
      </c>
      <c r="B35" s="67" t="s">
        <v>175</v>
      </c>
      <c r="C35" s="59">
        <f t="shared" si="1"/>
        <v>427574768</v>
      </c>
      <c r="D35" s="52">
        <v>328464019</v>
      </c>
      <c r="E35" s="52">
        <v>99110749</v>
      </c>
    </row>
    <row r="36" spans="1:5" ht="15" x14ac:dyDescent="0.25">
      <c r="A36" s="44" t="s">
        <v>74</v>
      </c>
      <c r="B36" s="42"/>
      <c r="C36" s="43"/>
      <c r="D36" s="43"/>
      <c r="E36" s="43"/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>
      <selection activeCell="P22" sqref="P22:Q23"/>
    </sheetView>
  </sheetViews>
  <sheetFormatPr baseColWidth="10" defaultRowHeight="12.75" x14ac:dyDescent="0.2"/>
  <cols>
    <col min="1" max="1" width="7" style="30" customWidth="1"/>
    <col min="2" max="2" width="66.85546875" style="30" customWidth="1"/>
    <col min="3" max="4" width="10.5703125" style="49" customWidth="1"/>
    <col min="5" max="15" width="10.5703125" style="30" customWidth="1"/>
    <col min="16" max="16384" width="11.42578125" style="30"/>
  </cols>
  <sheetData>
    <row r="1" spans="1:15" ht="15.75" x14ac:dyDescent="0.25">
      <c r="A1" s="48"/>
      <c r="B1" s="55" t="s">
        <v>176</v>
      </c>
      <c r="C1" s="55"/>
      <c r="D1" s="55"/>
      <c r="E1" s="48"/>
      <c r="F1" s="48"/>
      <c r="G1" s="48"/>
      <c r="H1" s="48"/>
      <c r="I1" s="48"/>
      <c r="J1" s="48"/>
      <c r="K1" s="48"/>
      <c r="L1" s="48"/>
      <c r="M1" s="48"/>
    </row>
    <row r="2" spans="1:15" ht="15.75" x14ac:dyDescent="0.25">
      <c r="A2" s="48"/>
      <c r="B2" s="55"/>
      <c r="C2" s="55"/>
      <c r="D2" s="55"/>
      <c r="E2" s="48"/>
      <c r="F2" s="48"/>
      <c r="G2" s="48"/>
      <c r="H2" s="48"/>
      <c r="I2" s="48"/>
      <c r="J2" s="48"/>
      <c r="K2" s="48"/>
      <c r="L2" s="48"/>
      <c r="M2" s="48"/>
    </row>
    <row r="3" spans="1:15" ht="15.75" x14ac:dyDescent="0.25">
      <c r="A3" s="48"/>
      <c r="B3" s="55" t="s">
        <v>12</v>
      </c>
      <c r="C3" s="93"/>
      <c r="D3" s="93"/>
      <c r="E3" s="94"/>
      <c r="F3" s="94"/>
      <c r="G3" s="94"/>
      <c r="H3" s="94"/>
      <c r="I3" s="94"/>
      <c r="J3" s="94"/>
      <c r="K3" s="94"/>
      <c r="L3" s="94"/>
      <c r="M3" s="94"/>
      <c r="N3" s="95"/>
      <c r="O3" s="95"/>
    </row>
    <row r="4" spans="1:15" ht="15" x14ac:dyDescent="0.25">
      <c r="A4" s="48"/>
      <c r="B4" s="48"/>
      <c r="C4" s="96">
        <v>2016</v>
      </c>
      <c r="D4" s="96">
        <v>2015</v>
      </c>
      <c r="E4" s="96">
        <v>2014</v>
      </c>
      <c r="F4" s="96">
        <v>2013</v>
      </c>
      <c r="G4" s="96">
        <v>2012</v>
      </c>
      <c r="H4" s="96">
        <v>2011</v>
      </c>
      <c r="I4" s="96">
        <v>2010</v>
      </c>
      <c r="J4" s="96">
        <v>2009</v>
      </c>
      <c r="K4" s="96">
        <v>2008</v>
      </c>
      <c r="L4" s="96">
        <v>2007</v>
      </c>
      <c r="M4" s="96">
        <v>2006</v>
      </c>
      <c r="N4" s="96">
        <v>2005</v>
      </c>
      <c r="O4" s="96">
        <v>2004</v>
      </c>
    </row>
    <row r="5" spans="1:15" ht="15" x14ac:dyDescent="0.25">
      <c r="A5" s="51" t="s">
        <v>34</v>
      </c>
      <c r="B5" s="49" t="s">
        <v>35</v>
      </c>
      <c r="C5" s="84">
        <v>2731344.2940000002</v>
      </c>
      <c r="D5" s="84">
        <v>2521318.358</v>
      </c>
      <c r="E5" s="59">
        <v>2711548.7990000001</v>
      </c>
      <c r="F5" s="57">
        <v>2620299.159</v>
      </c>
      <c r="G5" s="57">
        <v>2452225.7289999998</v>
      </c>
      <c r="H5" s="53">
        <v>2310945</v>
      </c>
      <c r="I5" s="50">
        <v>2391774</v>
      </c>
      <c r="J5" s="50">
        <v>2491892</v>
      </c>
      <c r="K5" s="50">
        <v>2313313</v>
      </c>
      <c r="L5" s="50">
        <v>2088689</v>
      </c>
      <c r="M5" s="50">
        <v>1653164</v>
      </c>
      <c r="N5" s="50">
        <v>997000</v>
      </c>
      <c r="O5" s="50">
        <v>980000</v>
      </c>
    </row>
    <row r="6" spans="1:15" ht="15" x14ac:dyDescent="0.25">
      <c r="A6" s="51" t="s">
        <v>36</v>
      </c>
      <c r="B6" s="49" t="s">
        <v>37</v>
      </c>
      <c r="C6" s="84">
        <v>427623.03399999999</v>
      </c>
      <c r="D6" s="84">
        <v>439871.60499999998</v>
      </c>
      <c r="E6" s="59">
        <v>651282.03300000005</v>
      </c>
      <c r="F6" s="57">
        <v>525865.56200000003</v>
      </c>
      <c r="G6" s="57">
        <v>465907.26400000002</v>
      </c>
      <c r="H6" s="53">
        <v>439885</v>
      </c>
      <c r="I6" s="50">
        <v>475259</v>
      </c>
      <c r="J6" s="50">
        <v>597058</v>
      </c>
      <c r="K6" s="50">
        <v>1172477</v>
      </c>
      <c r="L6" s="50">
        <v>1014297</v>
      </c>
      <c r="M6" s="50">
        <v>1526887</v>
      </c>
      <c r="N6" s="50">
        <v>944000</v>
      </c>
      <c r="O6" s="50">
        <v>959000</v>
      </c>
    </row>
    <row r="7" spans="1:15" ht="15" x14ac:dyDescent="0.25">
      <c r="A7" s="51" t="s">
        <v>38</v>
      </c>
      <c r="B7" s="49" t="s">
        <v>39</v>
      </c>
      <c r="C7" s="84">
        <v>2048091.889</v>
      </c>
      <c r="D7" s="84">
        <v>1846951.284</v>
      </c>
      <c r="E7" s="59">
        <v>1744034.469</v>
      </c>
      <c r="F7" s="57">
        <v>1770285.7209999999</v>
      </c>
      <c r="G7" s="57">
        <v>1672925.969</v>
      </c>
      <c r="H7" s="53">
        <v>1589459</v>
      </c>
      <c r="I7" s="50">
        <v>1665830</v>
      </c>
      <c r="J7" s="50">
        <v>1657551</v>
      </c>
      <c r="K7" s="50">
        <v>944324</v>
      </c>
      <c r="L7" s="50">
        <v>860389</v>
      </c>
      <c r="M7" s="49" t="s">
        <v>177</v>
      </c>
      <c r="N7" s="49" t="s">
        <v>177</v>
      </c>
      <c r="O7" s="49" t="s">
        <v>178</v>
      </c>
    </row>
    <row r="8" spans="1:15" ht="15" x14ac:dyDescent="0.25">
      <c r="A8" s="51" t="s">
        <v>40</v>
      </c>
      <c r="B8" s="49" t="s">
        <v>41</v>
      </c>
      <c r="C8" s="84">
        <v>16712.717000000001</v>
      </c>
      <c r="D8" s="84">
        <v>9694.5360000000001</v>
      </c>
      <c r="E8" s="59">
        <v>39805.699000000001</v>
      </c>
      <c r="F8" s="57">
        <v>27918.400000000001</v>
      </c>
      <c r="G8" s="57">
        <v>41565.671999999999</v>
      </c>
      <c r="H8" s="53">
        <v>20466</v>
      </c>
      <c r="I8" s="50">
        <v>23198</v>
      </c>
      <c r="J8" s="50">
        <v>2124</v>
      </c>
      <c r="K8" s="50">
        <v>41549</v>
      </c>
      <c r="L8" s="50">
        <v>28759</v>
      </c>
      <c r="M8" s="50">
        <v>126277</v>
      </c>
      <c r="N8" s="50">
        <v>53000</v>
      </c>
      <c r="O8" s="50">
        <v>21000</v>
      </c>
    </row>
    <row r="9" spans="1:15" ht="15" x14ac:dyDescent="0.25">
      <c r="A9" s="51" t="s">
        <v>42</v>
      </c>
      <c r="B9" s="49" t="s">
        <v>43</v>
      </c>
      <c r="C9" s="84">
        <v>225617.68900000001</v>
      </c>
      <c r="D9" s="84">
        <v>207403.734</v>
      </c>
      <c r="E9" s="59">
        <v>260979.378</v>
      </c>
      <c r="F9" s="57">
        <v>281979.14299999998</v>
      </c>
      <c r="G9" s="57">
        <v>258038.15900000001</v>
      </c>
      <c r="H9" s="53">
        <v>249052</v>
      </c>
      <c r="I9" s="50">
        <v>213931</v>
      </c>
      <c r="J9" s="50">
        <v>230992</v>
      </c>
      <c r="K9" s="50">
        <v>147731</v>
      </c>
      <c r="L9" s="50">
        <v>185244</v>
      </c>
      <c r="M9" s="48"/>
      <c r="N9" s="48"/>
      <c r="O9" s="48"/>
    </row>
    <row r="10" spans="1:15" ht="15" x14ac:dyDescent="0.25">
      <c r="A10" s="51" t="s">
        <v>44</v>
      </c>
      <c r="B10" s="49" t="s">
        <v>45</v>
      </c>
      <c r="C10" s="84">
        <v>13298.965</v>
      </c>
      <c r="D10" s="84">
        <v>17397.199000000001</v>
      </c>
      <c r="E10" s="59">
        <v>15447.22</v>
      </c>
      <c r="F10" s="57">
        <v>14250.333000000001</v>
      </c>
      <c r="G10" s="57">
        <v>13788.665000000001</v>
      </c>
      <c r="H10" s="53">
        <v>12083</v>
      </c>
      <c r="I10" s="49">
        <v>597</v>
      </c>
      <c r="J10" s="50">
        <v>4167</v>
      </c>
      <c r="K10" s="50">
        <v>7232</v>
      </c>
      <c r="L10" s="48"/>
      <c r="M10" s="48"/>
      <c r="N10" s="48"/>
      <c r="O10" s="48"/>
    </row>
    <row r="11" spans="1:15" ht="15" x14ac:dyDescent="0.25">
      <c r="A11" s="51"/>
      <c r="B11" s="48"/>
      <c r="C11" s="84">
        <v>0</v>
      </c>
      <c r="D11" s="84">
        <v>0</v>
      </c>
      <c r="E11" s="59"/>
      <c r="F11" s="48"/>
      <c r="G11" s="52"/>
      <c r="H11" s="53"/>
      <c r="I11" s="48"/>
      <c r="J11" s="48"/>
      <c r="K11" s="48"/>
      <c r="L11" s="48"/>
      <c r="M11" s="48"/>
      <c r="N11" s="48"/>
      <c r="O11" s="48"/>
    </row>
    <row r="12" spans="1:15" ht="15" x14ac:dyDescent="0.25">
      <c r="A12" s="51" t="s">
        <v>46</v>
      </c>
      <c r="B12" s="49" t="s">
        <v>47</v>
      </c>
      <c r="C12" s="84">
        <v>2433450.304</v>
      </c>
      <c r="D12" s="84">
        <v>2308615.4980000001</v>
      </c>
      <c r="E12" s="59">
        <v>2422597.7689999999</v>
      </c>
      <c r="F12" s="59">
        <v>2363080.3730000001</v>
      </c>
      <c r="G12" s="59">
        <v>2336000.054</v>
      </c>
      <c r="H12" s="52">
        <v>2170060</v>
      </c>
      <c r="I12" s="52">
        <v>2139407</v>
      </c>
      <c r="J12" s="52">
        <v>2322865</v>
      </c>
      <c r="K12" s="52">
        <v>2179249</v>
      </c>
      <c r="L12" s="52">
        <v>1612128</v>
      </c>
      <c r="M12" s="52">
        <v>1563057</v>
      </c>
      <c r="N12" s="52">
        <v>909000</v>
      </c>
      <c r="O12" s="52">
        <v>929000</v>
      </c>
    </row>
    <row r="13" spans="1:15" ht="15" x14ac:dyDescent="0.25">
      <c r="A13" s="51" t="s">
        <v>48</v>
      </c>
      <c r="B13" s="49" t="s">
        <v>49</v>
      </c>
      <c r="C13" s="84">
        <v>1375225.1969999999</v>
      </c>
      <c r="D13" s="84">
        <v>1376011.3160000001</v>
      </c>
      <c r="E13" s="59">
        <v>1504430.4890000001</v>
      </c>
      <c r="F13" s="59">
        <v>1419409.077</v>
      </c>
      <c r="G13" s="59">
        <v>1406912.07</v>
      </c>
      <c r="H13" s="52">
        <v>1308784</v>
      </c>
      <c r="I13" s="52">
        <v>1300417</v>
      </c>
      <c r="J13" s="52">
        <v>1405689</v>
      </c>
      <c r="K13" s="52">
        <v>1243873</v>
      </c>
      <c r="L13" s="52">
        <v>822769</v>
      </c>
      <c r="M13" s="52">
        <v>878426</v>
      </c>
      <c r="N13" s="52">
        <v>585000</v>
      </c>
      <c r="O13" s="52">
        <v>577000</v>
      </c>
    </row>
    <row r="14" spans="1:15" ht="15" x14ac:dyDescent="0.25">
      <c r="A14" s="51" t="s">
        <v>50</v>
      </c>
      <c r="B14" s="49" t="s">
        <v>51</v>
      </c>
      <c r="C14" s="84">
        <v>56300.328000000001</v>
      </c>
      <c r="D14" s="84">
        <v>85980.987999999998</v>
      </c>
      <c r="E14" s="59">
        <v>69612.429000000004</v>
      </c>
      <c r="F14" s="59">
        <v>65085.885999999999</v>
      </c>
      <c r="G14" s="59">
        <v>172386.55900000001</v>
      </c>
      <c r="H14" s="52">
        <v>60776</v>
      </c>
      <c r="I14" s="52">
        <v>74816</v>
      </c>
      <c r="J14" s="52">
        <v>101744</v>
      </c>
      <c r="K14" s="52">
        <v>47199</v>
      </c>
      <c r="L14" s="52">
        <v>42445</v>
      </c>
      <c r="M14" s="52">
        <v>60148</v>
      </c>
      <c r="N14" s="52">
        <v>39000</v>
      </c>
      <c r="O14" s="52">
        <v>52000</v>
      </c>
    </row>
    <row r="15" spans="1:15" ht="15" x14ac:dyDescent="0.25">
      <c r="A15" s="51" t="s">
        <v>52</v>
      </c>
      <c r="B15" s="49" t="s">
        <v>53</v>
      </c>
      <c r="C15" s="84">
        <v>1001924.779</v>
      </c>
      <c r="D15" s="84">
        <v>846623.19400000002</v>
      </c>
      <c r="E15" s="59">
        <v>848554.85100000002</v>
      </c>
      <c r="F15" s="59">
        <v>878585.41</v>
      </c>
      <c r="G15" s="59">
        <v>756701.42500000005</v>
      </c>
      <c r="H15" s="52">
        <v>800500</v>
      </c>
      <c r="I15" s="52">
        <v>764174</v>
      </c>
      <c r="J15" s="52">
        <v>815432</v>
      </c>
      <c r="K15" s="52">
        <v>888177</v>
      </c>
      <c r="L15" s="52">
        <v>746914</v>
      </c>
      <c r="M15" s="52">
        <v>624483</v>
      </c>
      <c r="N15" s="52">
        <v>285000</v>
      </c>
      <c r="O15" s="52">
        <v>300000</v>
      </c>
    </row>
    <row r="16" spans="1:15" ht="15" x14ac:dyDescent="0.25">
      <c r="A16" s="51"/>
      <c r="B16" s="48"/>
      <c r="C16" s="85">
        <v>0</v>
      </c>
      <c r="D16" s="85">
        <v>0</v>
      </c>
      <c r="E16" s="52"/>
      <c r="F16" s="59"/>
      <c r="G16" s="52"/>
      <c r="H16" s="52"/>
      <c r="I16" s="59"/>
      <c r="J16" s="59"/>
      <c r="K16" s="59"/>
      <c r="L16" s="59"/>
      <c r="M16" s="59"/>
      <c r="N16" s="59"/>
      <c r="O16" s="59"/>
    </row>
    <row r="17" spans="1:17" ht="15" x14ac:dyDescent="0.25">
      <c r="A17" s="51" t="s">
        <v>54</v>
      </c>
      <c r="B17" s="49" t="s">
        <v>55</v>
      </c>
      <c r="C17" s="84">
        <v>297893.99</v>
      </c>
      <c r="D17" s="84">
        <v>212702.86</v>
      </c>
      <c r="E17" s="59">
        <v>288951.03000000003</v>
      </c>
      <c r="F17" s="59">
        <v>257218.78599999999</v>
      </c>
      <c r="G17" s="59">
        <v>116225.675</v>
      </c>
      <c r="H17" s="52">
        <v>140885</v>
      </c>
      <c r="I17" s="52">
        <v>239408</v>
      </c>
      <c r="J17" s="52">
        <v>169027</v>
      </c>
      <c r="K17" s="52">
        <v>134064</v>
      </c>
      <c r="L17" s="52">
        <v>476561</v>
      </c>
      <c r="M17" s="52">
        <v>90107</v>
      </c>
      <c r="N17" s="52">
        <v>88000</v>
      </c>
      <c r="O17" s="52">
        <v>51000</v>
      </c>
    </row>
    <row r="18" spans="1:17" ht="15" x14ac:dyDescent="0.25">
      <c r="A18" s="51"/>
      <c r="B18" s="48"/>
      <c r="C18" s="85">
        <v>0</v>
      </c>
      <c r="D18" s="85">
        <v>0</v>
      </c>
      <c r="E18" s="52"/>
      <c r="F18" s="59"/>
      <c r="G18" s="52"/>
      <c r="H18" s="52"/>
      <c r="I18" s="59"/>
      <c r="J18" s="59"/>
      <c r="K18" s="59"/>
      <c r="L18" s="59"/>
      <c r="M18" s="59"/>
      <c r="N18" s="59"/>
      <c r="O18" s="59"/>
    </row>
    <row r="19" spans="1:17" ht="15" x14ac:dyDescent="0.25">
      <c r="A19" s="51" t="s">
        <v>56</v>
      </c>
      <c r="B19" s="49" t="s">
        <v>57</v>
      </c>
      <c r="C19" s="84">
        <v>13597.258</v>
      </c>
      <c r="D19" s="84">
        <v>33073.834000000003</v>
      </c>
      <c r="E19" s="59">
        <v>44662.572999999997</v>
      </c>
      <c r="F19" s="59">
        <v>23828.897000000001</v>
      </c>
      <c r="G19" s="59">
        <v>10282.156000000001</v>
      </c>
      <c r="H19" s="52">
        <v>7729</v>
      </c>
      <c r="I19" s="52">
        <v>-2138</v>
      </c>
      <c r="J19" s="52">
        <v>-112270</v>
      </c>
      <c r="K19" s="52">
        <v>43657</v>
      </c>
      <c r="L19" s="52">
        <v>28636</v>
      </c>
      <c r="M19" s="52">
        <v>26831</v>
      </c>
      <c r="N19" s="52">
        <v>6000</v>
      </c>
      <c r="O19" s="52">
        <v>-17000</v>
      </c>
    </row>
    <row r="20" spans="1:17" ht="15" x14ac:dyDescent="0.25">
      <c r="A20" s="51" t="s">
        <v>58</v>
      </c>
      <c r="B20" s="49" t="s">
        <v>59</v>
      </c>
      <c r="C20" s="84">
        <v>41813.493000000002</v>
      </c>
      <c r="D20" s="84">
        <v>58022.627999999997</v>
      </c>
      <c r="E20" s="59">
        <v>79587.362999999998</v>
      </c>
      <c r="F20" s="59">
        <v>51738.91</v>
      </c>
      <c r="G20" s="59">
        <v>55689.457000000002</v>
      </c>
      <c r="H20" s="52">
        <v>61579</v>
      </c>
      <c r="I20" s="52">
        <v>77539</v>
      </c>
      <c r="J20" s="52">
        <v>97201</v>
      </c>
      <c r="K20" s="52">
        <v>92486</v>
      </c>
      <c r="L20" s="52">
        <v>64399</v>
      </c>
      <c r="M20" s="52">
        <v>56925</v>
      </c>
      <c r="N20" s="52">
        <v>25000</v>
      </c>
      <c r="O20" s="52">
        <v>14000</v>
      </c>
    </row>
    <row r="21" spans="1:17" ht="15" x14ac:dyDescent="0.25">
      <c r="A21" s="51" t="s">
        <v>60</v>
      </c>
      <c r="B21" s="49" t="s">
        <v>61</v>
      </c>
      <c r="C21" s="84">
        <v>28216.235000000001</v>
      </c>
      <c r="D21" s="84">
        <v>24948.794000000002</v>
      </c>
      <c r="E21" s="59">
        <v>34924.79</v>
      </c>
      <c r="F21" s="59">
        <v>27910.012999999999</v>
      </c>
      <c r="G21" s="59">
        <v>45407.300999999999</v>
      </c>
      <c r="H21" s="52">
        <v>53850</v>
      </c>
      <c r="I21" s="52">
        <v>79677</v>
      </c>
      <c r="J21" s="52">
        <v>209471</v>
      </c>
      <c r="K21" s="52">
        <v>48829</v>
      </c>
      <c r="L21" s="52">
        <v>-35763</v>
      </c>
      <c r="M21" s="52">
        <v>30094</v>
      </c>
      <c r="N21" s="52">
        <v>19000</v>
      </c>
      <c r="O21" s="52">
        <v>31000</v>
      </c>
    </row>
    <row r="22" spans="1:17" ht="15" x14ac:dyDescent="0.25">
      <c r="A22" s="51"/>
      <c r="B22" s="48"/>
      <c r="C22" s="85">
        <v>0</v>
      </c>
      <c r="D22" s="85">
        <v>0</v>
      </c>
      <c r="E22" s="52"/>
      <c r="F22" s="59"/>
      <c r="G22" s="52"/>
      <c r="H22" s="52"/>
      <c r="I22" s="59"/>
      <c r="J22" s="59"/>
      <c r="K22" s="59"/>
      <c r="L22" s="59"/>
      <c r="M22" s="59"/>
      <c r="N22" s="59"/>
      <c r="O22" s="59"/>
    </row>
    <row r="23" spans="1:17" ht="15" x14ac:dyDescent="0.25">
      <c r="A23" s="51" t="s">
        <v>62</v>
      </c>
      <c r="B23" s="49" t="s">
        <v>63</v>
      </c>
      <c r="C23" s="84">
        <v>311491.24800000002</v>
      </c>
      <c r="D23" s="84">
        <v>245776.69399999999</v>
      </c>
      <c r="E23" s="59">
        <v>333613.603</v>
      </c>
      <c r="F23" s="59">
        <v>281047.68300000002</v>
      </c>
      <c r="G23" s="59">
        <v>126507.83100000001</v>
      </c>
      <c r="H23" s="52">
        <v>148614</v>
      </c>
      <c r="I23" s="52">
        <v>237270</v>
      </c>
      <c r="J23" s="52">
        <v>56757</v>
      </c>
      <c r="K23" s="52">
        <v>177721</v>
      </c>
      <c r="L23" s="52">
        <v>505196</v>
      </c>
      <c r="M23" s="52">
        <v>116938</v>
      </c>
      <c r="N23" s="52">
        <v>94000</v>
      </c>
      <c r="O23" s="52">
        <v>34000</v>
      </c>
      <c r="P23" s="53"/>
      <c r="Q23" s="97"/>
    </row>
    <row r="24" spans="1:17" ht="15" x14ac:dyDescent="0.25">
      <c r="A24" s="51" t="s">
        <v>64</v>
      </c>
      <c r="B24" s="49" t="s">
        <v>65</v>
      </c>
      <c r="C24" s="84">
        <v>79396.354999999996</v>
      </c>
      <c r="D24" s="84">
        <v>142855.41200000001</v>
      </c>
      <c r="E24" s="59">
        <v>75148.87</v>
      </c>
      <c r="F24" s="59">
        <v>76513.794999999998</v>
      </c>
      <c r="G24" s="59">
        <v>36890.942000000003</v>
      </c>
      <c r="H24" s="52">
        <v>38971</v>
      </c>
      <c r="I24" s="52">
        <v>37732</v>
      </c>
      <c r="J24" s="52">
        <v>42160</v>
      </c>
      <c r="K24" s="52">
        <v>87195</v>
      </c>
      <c r="L24" s="52">
        <v>-39956</v>
      </c>
      <c r="M24" s="52">
        <v>37547</v>
      </c>
      <c r="N24" s="59"/>
      <c r="O24" s="59"/>
    </row>
    <row r="25" spans="1:17" ht="15" x14ac:dyDescent="0.25">
      <c r="A25" s="51"/>
      <c r="B25" s="48"/>
      <c r="C25" s="85">
        <v>0</v>
      </c>
      <c r="D25" s="85">
        <v>0</v>
      </c>
      <c r="E25" s="52"/>
      <c r="F25" s="59"/>
      <c r="G25" s="52"/>
      <c r="H25" s="52"/>
      <c r="I25" s="59"/>
      <c r="J25" s="59"/>
      <c r="K25" s="59"/>
      <c r="L25" s="59"/>
      <c r="M25" s="59"/>
      <c r="N25" s="59"/>
      <c r="O25" s="59"/>
    </row>
    <row r="26" spans="1:17" ht="15" x14ac:dyDescent="0.25">
      <c r="A26" s="51" t="s">
        <v>66</v>
      </c>
      <c r="B26" s="49" t="s">
        <v>67</v>
      </c>
      <c r="C26" s="84">
        <v>232094.89300000001</v>
      </c>
      <c r="D26" s="84">
        <v>102921.28200000001</v>
      </c>
      <c r="E26" s="59">
        <v>258464.73300000001</v>
      </c>
      <c r="F26" s="59">
        <v>204533.88800000001</v>
      </c>
      <c r="G26" s="59">
        <v>89616.888999999996</v>
      </c>
      <c r="H26" s="52">
        <v>109643</v>
      </c>
      <c r="I26" s="52">
        <v>199538</v>
      </c>
      <c r="J26" s="52">
        <v>14597</v>
      </c>
      <c r="K26" s="52">
        <v>90526</v>
      </c>
      <c r="L26" s="52">
        <v>545152</v>
      </c>
      <c r="M26" s="52">
        <v>79391</v>
      </c>
      <c r="N26" s="59"/>
      <c r="O26" s="59"/>
    </row>
    <row r="27" spans="1:17" ht="15" x14ac:dyDescent="0.25">
      <c r="A27" s="51"/>
      <c r="B27" s="48"/>
      <c r="C27" s="85">
        <v>0</v>
      </c>
      <c r="D27" s="85">
        <v>0</v>
      </c>
      <c r="E27" s="52"/>
      <c r="F27" s="59"/>
      <c r="G27" s="52"/>
      <c r="H27" s="52"/>
      <c r="I27" s="59"/>
      <c r="J27" s="59"/>
      <c r="K27" s="59"/>
      <c r="L27" s="59"/>
      <c r="M27" s="59"/>
      <c r="N27" s="59"/>
      <c r="O27" s="59"/>
    </row>
    <row r="28" spans="1:17" ht="15" x14ac:dyDescent="0.25">
      <c r="A28" s="51" t="s">
        <v>68</v>
      </c>
      <c r="B28" s="49" t="s">
        <v>69</v>
      </c>
      <c r="C28" s="84">
        <v>227043.10200000001</v>
      </c>
      <c r="D28" s="84">
        <v>88982.2</v>
      </c>
      <c r="E28" s="59">
        <v>262657.99200000003</v>
      </c>
      <c r="F28" s="59">
        <v>201995.568</v>
      </c>
      <c r="G28" s="59">
        <v>73514.760999999999</v>
      </c>
      <c r="H28" s="52">
        <v>109217</v>
      </c>
      <c r="I28" s="52">
        <v>194125</v>
      </c>
      <c r="J28" s="52">
        <v>18782</v>
      </c>
      <c r="K28" s="52">
        <v>82684</v>
      </c>
      <c r="L28" s="52">
        <v>346178</v>
      </c>
      <c r="M28" s="52">
        <v>77848</v>
      </c>
      <c r="N28" s="59"/>
      <c r="O28" s="59"/>
    </row>
    <row r="29" spans="1:17" ht="15" x14ac:dyDescent="0.25">
      <c r="A29" s="51" t="s">
        <v>70</v>
      </c>
      <c r="B29" s="49" t="s">
        <v>71</v>
      </c>
      <c r="C29" s="84">
        <v>41673.42</v>
      </c>
      <c r="D29" s="84">
        <v>27528.75</v>
      </c>
      <c r="E29" s="59">
        <v>39461.462</v>
      </c>
      <c r="F29" s="59">
        <v>56444.173000000003</v>
      </c>
      <c r="G29" s="59">
        <v>64010.15</v>
      </c>
      <c r="H29" s="52">
        <v>63167</v>
      </c>
      <c r="I29" s="52">
        <v>34566</v>
      </c>
      <c r="J29" s="52">
        <v>513209</v>
      </c>
      <c r="K29" s="52">
        <v>45463</v>
      </c>
      <c r="L29" s="52">
        <v>52572</v>
      </c>
      <c r="M29" s="52">
        <v>42536</v>
      </c>
      <c r="N29" s="59"/>
      <c r="O29" s="59"/>
    </row>
    <row r="30" spans="1:17" ht="15" x14ac:dyDescent="0.25">
      <c r="A30" s="51" t="s">
        <v>72</v>
      </c>
      <c r="B30" s="49" t="s">
        <v>73</v>
      </c>
      <c r="C30" s="84">
        <v>16600.666000000001</v>
      </c>
      <c r="D30" s="84">
        <v>19134.276999999998</v>
      </c>
      <c r="E30" s="59">
        <v>35087.072999999997</v>
      </c>
      <c r="F30" s="59">
        <v>31264.388999999999</v>
      </c>
      <c r="G30" s="59">
        <v>20469.530999999999</v>
      </c>
      <c r="H30" s="52">
        <v>18292</v>
      </c>
      <c r="I30" s="52">
        <v>23593</v>
      </c>
      <c r="J30" s="52">
        <v>14131</v>
      </c>
      <c r="K30" s="52">
        <v>51919</v>
      </c>
      <c r="L30" s="52">
        <v>29257</v>
      </c>
      <c r="M30" s="52">
        <v>11339</v>
      </c>
      <c r="N30" s="59"/>
      <c r="O30" s="59"/>
    </row>
    <row r="31" spans="1:17" ht="15" x14ac:dyDescent="0.25">
      <c r="A31" s="89" t="s">
        <v>179</v>
      </c>
      <c r="B31" s="48"/>
      <c r="C31" s="59"/>
      <c r="D31" s="59"/>
      <c r="E31" s="48"/>
      <c r="F31" s="48"/>
      <c r="G31" s="48"/>
      <c r="H31" s="48"/>
      <c r="I31" s="48"/>
      <c r="J31" s="48"/>
      <c r="K31" s="48"/>
      <c r="L31" s="48"/>
      <c r="M31" s="48"/>
    </row>
    <row r="32" spans="1:17" ht="15" x14ac:dyDescent="0.25">
      <c r="A32" s="89" t="s">
        <v>180</v>
      </c>
      <c r="B32" s="48"/>
      <c r="C32" s="76"/>
      <c r="D32" s="60"/>
      <c r="E32" s="78"/>
      <c r="F32" s="48"/>
    </row>
    <row r="33" spans="3:5" ht="15" x14ac:dyDescent="0.25">
      <c r="C33" s="78"/>
      <c r="D33" s="48"/>
      <c r="E33" s="52"/>
    </row>
    <row r="34" spans="3:5" ht="15" x14ac:dyDescent="0.25">
      <c r="C34" s="100"/>
      <c r="D34" s="52"/>
      <c r="E34" s="52"/>
    </row>
    <row r="35" spans="3:5" x14ac:dyDescent="0.2">
      <c r="D35" s="52"/>
      <c r="E35" s="52"/>
    </row>
    <row r="36" spans="3:5" x14ac:dyDescent="0.2">
      <c r="D36" s="52"/>
      <c r="E36" s="52"/>
    </row>
    <row r="37" spans="3:5" x14ac:dyDescent="0.2">
      <c r="D37" s="52"/>
      <c r="E37" s="52"/>
    </row>
    <row r="38" spans="3:5" x14ac:dyDescent="0.2">
      <c r="D38" s="52"/>
      <c r="E38" s="52"/>
    </row>
    <row r="39" spans="3:5" x14ac:dyDescent="0.2">
      <c r="D39" s="52"/>
      <c r="E39" s="52"/>
    </row>
    <row r="40" spans="3:5" x14ac:dyDescent="0.2">
      <c r="D40" s="52"/>
      <c r="E40" s="52"/>
    </row>
    <row r="41" spans="3:5" x14ac:dyDescent="0.2">
      <c r="D41" s="52"/>
      <c r="E41" s="52"/>
    </row>
    <row r="42" spans="3:5" x14ac:dyDescent="0.2">
      <c r="D42" s="52"/>
      <c r="E42" s="52"/>
    </row>
    <row r="43" spans="3:5" x14ac:dyDescent="0.2">
      <c r="D43" s="52"/>
      <c r="E43" s="52"/>
    </row>
    <row r="44" spans="3:5" x14ac:dyDescent="0.2">
      <c r="D44" s="52"/>
      <c r="E44" s="52"/>
    </row>
    <row r="45" spans="3:5" x14ac:dyDescent="0.2">
      <c r="D45" s="52"/>
      <c r="E45" s="52"/>
    </row>
    <row r="46" spans="3:5" x14ac:dyDescent="0.2">
      <c r="D46" s="52"/>
      <c r="E46" s="52"/>
    </row>
    <row r="47" spans="3:5" x14ac:dyDescent="0.2">
      <c r="D47" s="52"/>
      <c r="E47" s="52"/>
    </row>
    <row r="48" spans="3:5" x14ac:dyDescent="0.2">
      <c r="D48" s="52"/>
      <c r="E48" s="52"/>
    </row>
    <row r="49" spans="4:5" x14ac:dyDescent="0.2">
      <c r="D49" s="52"/>
      <c r="E49" s="52"/>
    </row>
    <row r="50" spans="4:5" x14ac:dyDescent="0.2">
      <c r="D50" s="52"/>
      <c r="E50" s="52"/>
    </row>
    <row r="51" spans="4:5" x14ac:dyDescent="0.2">
      <c r="D51" s="52"/>
      <c r="E51" s="52"/>
    </row>
    <row r="52" spans="4:5" x14ac:dyDescent="0.2">
      <c r="D52" s="52"/>
      <c r="E52" s="52"/>
    </row>
    <row r="53" spans="4:5" x14ac:dyDescent="0.2">
      <c r="D53" s="52"/>
      <c r="E53" s="52"/>
    </row>
    <row r="54" spans="4:5" x14ac:dyDescent="0.2">
      <c r="D54" s="52"/>
      <c r="E54" s="52"/>
    </row>
    <row r="55" spans="4:5" x14ac:dyDescent="0.2">
      <c r="D55" s="52"/>
      <c r="E55" s="52"/>
    </row>
    <row r="56" spans="4:5" x14ac:dyDescent="0.2">
      <c r="D56" s="52"/>
      <c r="E56" s="52"/>
    </row>
    <row r="57" spans="4:5" x14ac:dyDescent="0.2">
      <c r="D57" s="52"/>
      <c r="E57" s="52"/>
    </row>
    <row r="58" spans="4:5" x14ac:dyDescent="0.2">
      <c r="D58" s="52"/>
      <c r="E58" s="52"/>
    </row>
    <row r="59" spans="4:5" x14ac:dyDescent="0.2">
      <c r="D59" s="52"/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K34" sqref="K34"/>
    </sheetView>
  </sheetViews>
  <sheetFormatPr baseColWidth="10" defaultRowHeight="15" x14ac:dyDescent="0.25"/>
  <cols>
    <col min="1" max="1" width="7.5703125" customWidth="1"/>
    <col min="2" max="2" width="64.140625" customWidth="1"/>
    <col min="3" max="3" width="13.7109375" style="76" customWidth="1"/>
    <col min="4" max="12" width="13.7109375" customWidth="1"/>
    <col min="13" max="13" width="13.140625" bestFit="1" customWidth="1"/>
  </cols>
  <sheetData>
    <row r="1" spans="1:15" ht="15.75" x14ac:dyDescent="0.25">
      <c r="A1" s="58"/>
      <c r="B1" s="55" t="s">
        <v>181</v>
      </c>
      <c r="C1" s="55"/>
      <c r="D1" s="55"/>
      <c r="E1" s="58"/>
      <c r="F1" s="58"/>
      <c r="G1" s="58"/>
      <c r="H1" s="58"/>
      <c r="I1" s="58"/>
      <c r="J1" s="58"/>
    </row>
    <row r="2" spans="1:15" ht="15.75" x14ac:dyDescent="0.25">
      <c r="A2" s="58"/>
      <c r="B2" s="55"/>
      <c r="C2" s="55"/>
      <c r="D2" s="55"/>
      <c r="E2" s="58"/>
      <c r="F2" s="58"/>
      <c r="G2" s="58"/>
      <c r="H2" s="58"/>
      <c r="I2" s="58"/>
      <c r="J2" s="58"/>
    </row>
    <row r="3" spans="1:15" ht="15.75" x14ac:dyDescent="0.25">
      <c r="A3" s="58"/>
      <c r="B3" s="55" t="s">
        <v>182</v>
      </c>
      <c r="C3" s="98">
        <f>C6/C5</f>
        <v>7.1438321197819329E-2</v>
      </c>
      <c r="D3" s="55"/>
      <c r="E3" s="58"/>
      <c r="F3" s="58"/>
      <c r="G3" s="58"/>
      <c r="H3" s="58"/>
      <c r="I3" s="58"/>
      <c r="J3" s="58"/>
    </row>
    <row r="4" spans="1:15" x14ac:dyDescent="0.25">
      <c r="A4" s="58"/>
      <c r="B4" s="58"/>
      <c r="C4" s="96">
        <v>2016</v>
      </c>
      <c r="D4" s="96">
        <v>2015</v>
      </c>
      <c r="E4" s="96">
        <v>2014</v>
      </c>
      <c r="F4" s="96">
        <v>2013</v>
      </c>
      <c r="G4" s="96">
        <v>2012</v>
      </c>
      <c r="H4" s="96">
        <v>2011</v>
      </c>
      <c r="I4" s="96">
        <v>2010</v>
      </c>
      <c r="J4" s="96">
        <v>2009</v>
      </c>
      <c r="K4" s="96">
        <v>2008</v>
      </c>
      <c r="L4" s="96">
        <v>2007</v>
      </c>
    </row>
    <row r="5" spans="1:15" x14ac:dyDescent="0.25">
      <c r="A5" s="51" t="s">
        <v>34</v>
      </c>
      <c r="B5" s="49" t="s">
        <v>35</v>
      </c>
      <c r="C5" s="59">
        <v>1563231136</v>
      </c>
      <c r="D5" s="59">
        <v>1535072294</v>
      </c>
      <c r="E5" s="59">
        <v>1598638803</v>
      </c>
      <c r="F5" s="60">
        <v>1583810129</v>
      </c>
      <c r="G5" s="60">
        <v>1502488853</v>
      </c>
      <c r="H5" s="60">
        <v>1398761000</v>
      </c>
      <c r="I5" s="60">
        <v>1370904000</v>
      </c>
      <c r="J5" s="60">
        <v>1356012000</v>
      </c>
      <c r="K5" s="60">
        <v>1251879000</v>
      </c>
      <c r="L5" s="60">
        <v>1157905000</v>
      </c>
      <c r="M5" s="71"/>
    </row>
    <row r="6" spans="1:15" x14ac:dyDescent="0.25">
      <c r="A6" s="51" t="s">
        <v>36</v>
      </c>
      <c r="B6" s="49" t="s">
        <v>37</v>
      </c>
      <c r="C6" s="59">
        <v>111674608</v>
      </c>
      <c r="D6" s="59">
        <v>125135800</v>
      </c>
      <c r="E6" s="59">
        <v>278577062</v>
      </c>
      <c r="F6" s="60">
        <v>154644897</v>
      </c>
      <c r="G6" s="60">
        <v>221538173</v>
      </c>
      <c r="H6" s="60">
        <v>227848000</v>
      </c>
      <c r="I6" s="60">
        <v>296619000</v>
      </c>
      <c r="J6" s="60">
        <v>318496000</v>
      </c>
      <c r="K6" s="60">
        <v>406326000</v>
      </c>
      <c r="L6" s="60">
        <v>550307000</v>
      </c>
      <c r="M6" s="88"/>
      <c r="N6" s="60"/>
      <c r="O6" s="60"/>
    </row>
    <row r="7" spans="1:15" x14ac:dyDescent="0.25">
      <c r="A7" s="51" t="s">
        <v>38</v>
      </c>
      <c r="B7" s="49" t="s">
        <v>39</v>
      </c>
      <c r="C7" s="59">
        <v>1334991973</v>
      </c>
      <c r="D7" s="59">
        <v>1299647699</v>
      </c>
      <c r="E7" s="59">
        <v>1094065839</v>
      </c>
      <c r="F7" s="60">
        <v>1202936452</v>
      </c>
      <c r="G7" s="60">
        <v>1051161034</v>
      </c>
      <c r="H7" s="60">
        <v>985185000</v>
      </c>
      <c r="I7" s="60">
        <v>921616000</v>
      </c>
      <c r="J7" s="60">
        <v>899999000</v>
      </c>
      <c r="K7" s="60">
        <v>96259000</v>
      </c>
      <c r="L7" s="60">
        <v>62746000</v>
      </c>
      <c r="M7" s="71"/>
      <c r="N7" s="78"/>
      <c r="O7" s="77"/>
    </row>
    <row r="8" spans="1:15" x14ac:dyDescent="0.25">
      <c r="A8" s="51" t="s">
        <v>40</v>
      </c>
      <c r="B8" s="49" t="s">
        <v>41</v>
      </c>
      <c r="C8" s="59">
        <v>121780</v>
      </c>
      <c r="D8" s="59">
        <v>2108943</v>
      </c>
      <c r="E8" s="59">
        <v>36676071</v>
      </c>
      <c r="F8" s="60">
        <v>27918400</v>
      </c>
      <c r="G8" s="60">
        <v>33320849</v>
      </c>
      <c r="H8" s="60">
        <v>11786000</v>
      </c>
      <c r="I8" s="60">
        <v>19229000</v>
      </c>
      <c r="J8" s="60">
        <v>597000</v>
      </c>
      <c r="K8" s="60">
        <v>361931000</v>
      </c>
      <c r="L8" s="60">
        <v>48706000</v>
      </c>
      <c r="M8" s="71"/>
    </row>
    <row r="9" spans="1:15" x14ac:dyDescent="0.25">
      <c r="A9" s="51" t="s">
        <v>42</v>
      </c>
      <c r="B9" s="49" t="s">
        <v>43</v>
      </c>
      <c r="C9" s="59">
        <v>116442775</v>
      </c>
      <c r="D9" s="59">
        <v>108179852</v>
      </c>
      <c r="E9" s="59">
        <v>189319831</v>
      </c>
      <c r="F9" s="60">
        <v>198310380</v>
      </c>
      <c r="G9" s="60">
        <v>196468797</v>
      </c>
      <c r="H9" s="60">
        <v>173942000</v>
      </c>
      <c r="I9" s="60">
        <v>134640000</v>
      </c>
      <c r="J9" s="60">
        <v>136920000</v>
      </c>
      <c r="K9" s="60">
        <v>273209000</v>
      </c>
      <c r="L9" s="60">
        <v>400646000</v>
      </c>
      <c r="M9" s="71"/>
    </row>
    <row r="10" spans="1:15" x14ac:dyDescent="0.25">
      <c r="A10" s="51"/>
      <c r="B10" s="58"/>
      <c r="C10" s="59"/>
      <c r="D10" s="52"/>
      <c r="E10" s="52"/>
      <c r="M10" s="71"/>
    </row>
    <row r="11" spans="1:15" x14ac:dyDescent="0.25">
      <c r="A11" s="51" t="s">
        <v>46</v>
      </c>
      <c r="B11" s="49" t="s">
        <v>47</v>
      </c>
      <c r="C11" s="59">
        <v>1313698575</v>
      </c>
      <c r="D11" s="59">
        <v>1357640840</v>
      </c>
      <c r="E11" s="59">
        <v>1380053710</v>
      </c>
      <c r="F11" s="60">
        <v>1374561076</v>
      </c>
      <c r="G11" s="60">
        <v>1312429057</v>
      </c>
      <c r="H11" s="60">
        <v>1277724000</v>
      </c>
      <c r="I11" s="60">
        <v>1181264000</v>
      </c>
      <c r="J11" s="60">
        <v>1218109000</v>
      </c>
      <c r="K11" s="60">
        <v>1163464000</v>
      </c>
      <c r="L11" s="60">
        <v>1059918000</v>
      </c>
      <c r="M11" s="71"/>
    </row>
    <row r="12" spans="1:15" x14ac:dyDescent="0.25">
      <c r="A12" s="51" t="s">
        <v>48</v>
      </c>
      <c r="B12" s="49" t="s">
        <v>49</v>
      </c>
      <c r="C12" s="52">
        <v>894584086</v>
      </c>
      <c r="D12" s="59">
        <v>933437915</v>
      </c>
      <c r="E12" s="59">
        <v>958893002</v>
      </c>
      <c r="F12" s="60">
        <v>939968405</v>
      </c>
      <c r="G12" s="60">
        <v>909118994</v>
      </c>
      <c r="H12" s="60">
        <v>889965000</v>
      </c>
      <c r="I12" s="60">
        <v>819454000</v>
      </c>
      <c r="J12" s="60">
        <v>840541000</v>
      </c>
      <c r="K12" s="60">
        <v>782372000</v>
      </c>
      <c r="L12" s="60">
        <v>705718000</v>
      </c>
      <c r="M12" s="71"/>
    </row>
    <row r="13" spans="1:15" x14ac:dyDescent="0.25">
      <c r="A13" s="51" t="s">
        <v>50</v>
      </c>
      <c r="B13" s="49" t="s">
        <v>51</v>
      </c>
      <c r="C13" s="59">
        <v>32759835</v>
      </c>
      <c r="D13" s="52">
        <v>59823926</v>
      </c>
      <c r="E13" s="59">
        <v>47103651</v>
      </c>
      <c r="F13" s="60">
        <v>46137192</v>
      </c>
      <c r="G13" s="60">
        <v>43230684</v>
      </c>
      <c r="H13" s="60">
        <v>43537000</v>
      </c>
      <c r="I13" s="60">
        <v>47597000</v>
      </c>
      <c r="J13" s="60">
        <v>47311000</v>
      </c>
      <c r="K13" s="60">
        <v>22528000</v>
      </c>
      <c r="L13" s="60">
        <v>43419000</v>
      </c>
      <c r="M13" s="71"/>
    </row>
    <row r="14" spans="1:15" x14ac:dyDescent="0.25">
      <c r="A14" s="51" t="s">
        <v>52</v>
      </c>
      <c r="B14" s="49" t="s">
        <v>53</v>
      </c>
      <c r="C14" s="52">
        <v>386354654</v>
      </c>
      <c r="D14" s="59">
        <v>364378999</v>
      </c>
      <c r="E14" s="52">
        <v>374057057</v>
      </c>
      <c r="F14" s="60">
        <v>388455479</v>
      </c>
      <c r="G14" s="60">
        <v>360079379</v>
      </c>
      <c r="H14" s="60">
        <v>344222000</v>
      </c>
      <c r="I14" s="60">
        <v>314213000</v>
      </c>
      <c r="J14" s="60">
        <v>330257000</v>
      </c>
      <c r="K14" s="60">
        <v>358564000</v>
      </c>
      <c r="L14" s="60">
        <v>310781000</v>
      </c>
      <c r="M14" s="71"/>
    </row>
    <row r="15" spans="1:15" x14ac:dyDescent="0.25">
      <c r="A15" s="51"/>
      <c r="B15" s="58"/>
      <c r="C15" s="59"/>
      <c r="D15" s="52"/>
      <c r="E15" s="59"/>
      <c r="M15" s="67"/>
    </row>
    <row r="16" spans="1:15" x14ac:dyDescent="0.25">
      <c r="A16" s="51" t="s">
        <v>54</v>
      </c>
      <c r="B16" s="49" t="s">
        <v>55</v>
      </c>
      <c r="C16" s="59">
        <v>249532561</v>
      </c>
      <c r="D16" s="59">
        <v>177431454</v>
      </c>
      <c r="E16" s="52">
        <v>218585093</v>
      </c>
      <c r="F16" s="60">
        <v>209249053</v>
      </c>
      <c r="G16" s="60">
        <v>190059796</v>
      </c>
      <c r="H16" s="60">
        <v>121037000</v>
      </c>
      <c r="I16" s="60">
        <v>190840000</v>
      </c>
      <c r="J16" s="60">
        <v>137903000</v>
      </c>
      <c r="K16" s="60">
        <v>88415000</v>
      </c>
      <c r="L16" s="60">
        <v>97987000</v>
      </c>
      <c r="M16" s="71"/>
    </row>
    <row r="17" spans="1:15" x14ac:dyDescent="0.25">
      <c r="A17" s="51"/>
      <c r="B17" s="58"/>
      <c r="C17" s="59"/>
      <c r="D17" s="59"/>
      <c r="E17" s="59"/>
      <c r="M17" s="67"/>
    </row>
    <row r="18" spans="1:15" x14ac:dyDescent="0.25">
      <c r="A18" s="51" t="s">
        <v>56</v>
      </c>
      <c r="B18" s="49" t="s">
        <v>57</v>
      </c>
      <c r="C18" s="52">
        <v>7729951</v>
      </c>
      <c r="D18" s="59">
        <v>13290260</v>
      </c>
      <c r="E18" s="59">
        <v>4391681</v>
      </c>
      <c r="F18" s="60">
        <v>6950303</v>
      </c>
      <c r="G18" s="60">
        <v>-1140402</v>
      </c>
      <c r="H18" s="60">
        <v>108000</v>
      </c>
      <c r="I18" s="60">
        <v>440000</v>
      </c>
      <c r="J18" s="60">
        <v>-12148000</v>
      </c>
      <c r="K18" s="60">
        <v>28254000</v>
      </c>
      <c r="L18" s="60">
        <v>4904000</v>
      </c>
      <c r="M18" s="71"/>
    </row>
    <row r="19" spans="1:15" x14ac:dyDescent="0.25">
      <c r="A19" s="51" t="s">
        <v>58</v>
      </c>
      <c r="B19" s="49" t="s">
        <v>59</v>
      </c>
      <c r="C19" s="59">
        <v>24180771</v>
      </c>
      <c r="D19" s="52">
        <v>20726164</v>
      </c>
      <c r="E19" s="59">
        <v>27647734</v>
      </c>
      <c r="F19" s="60">
        <v>20105209</v>
      </c>
      <c r="G19" s="60">
        <v>31420366</v>
      </c>
      <c r="H19" s="60">
        <v>29584000</v>
      </c>
      <c r="I19" s="60">
        <v>30182000</v>
      </c>
      <c r="J19" s="60">
        <v>15517000</v>
      </c>
      <c r="K19" s="60">
        <v>46131000</v>
      </c>
      <c r="L19" s="60">
        <v>34563000</v>
      </c>
      <c r="M19" s="71"/>
    </row>
    <row r="20" spans="1:15" x14ac:dyDescent="0.25">
      <c r="A20" s="51" t="s">
        <v>60</v>
      </c>
      <c r="B20" s="49" t="s">
        <v>61</v>
      </c>
      <c r="C20" s="59">
        <v>16450820</v>
      </c>
      <c r="D20" s="59">
        <v>7435904</v>
      </c>
      <c r="E20" s="52">
        <v>23256053</v>
      </c>
      <c r="F20" s="60">
        <v>13154906</v>
      </c>
      <c r="G20" s="60">
        <v>32560768</v>
      </c>
      <c r="H20" s="60">
        <v>29476000</v>
      </c>
      <c r="I20" s="60">
        <v>29742000</v>
      </c>
      <c r="J20" s="60">
        <v>27665000</v>
      </c>
      <c r="K20" s="60">
        <v>17877000</v>
      </c>
      <c r="L20" s="60">
        <v>29659000</v>
      </c>
      <c r="M20" s="71"/>
    </row>
    <row r="21" spans="1:15" x14ac:dyDescent="0.25">
      <c r="A21" s="51"/>
      <c r="B21" s="58"/>
      <c r="C21" s="52"/>
      <c r="D21" s="59"/>
      <c r="E21" s="59"/>
      <c r="M21" s="67"/>
    </row>
    <row r="22" spans="1:15" x14ac:dyDescent="0.25">
      <c r="A22" s="51" t="s">
        <v>62</v>
      </c>
      <c r="B22" s="49" t="s">
        <v>63</v>
      </c>
      <c r="C22" s="59">
        <v>257262512</v>
      </c>
      <c r="D22" s="52">
        <v>190721714</v>
      </c>
      <c r="E22" s="59">
        <v>222976774</v>
      </c>
      <c r="F22" s="60">
        <v>216199356</v>
      </c>
      <c r="G22" s="61">
        <v>188919394</v>
      </c>
      <c r="H22" s="60">
        <v>121145000</v>
      </c>
      <c r="I22" s="60">
        <v>191280000</v>
      </c>
      <c r="J22" s="60">
        <v>125755000</v>
      </c>
      <c r="K22" s="60">
        <v>116669000</v>
      </c>
      <c r="L22" s="60">
        <v>102891000</v>
      </c>
      <c r="M22" s="71"/>
      <c r="N22" s="78"/>
      <c r="O22" s="60"/>
    </row>
    <row r="23" spans="1:15" x14ac:dyDescent="0.25">
      <c r="A23" s="51" t="s">
        <v>64</v>
      </c>
      <c r="B23" s="49" t="s">
        <v>65</v>
      </c>
      <c r="C23" s="52">
        <v>54784431</v>
      </c>
      <c r="D23" s="59">
        <v>58267262</v>
      </c>
      <c r="E23" s="52">
        <v>42937829</v>
      </c>
      <c r="F23" s="60">
        <v>50531150</v>
      </c>
      <c r="G23" s="60">
        <v>49380073</v>
      </c>
      <c r="H23" s="60">
        <v>36231000</v>
      </c>
      <c r="I23" s="60">
        <v>26877000</v>
      </c>
      <c r="J23" s="60">
        <v>16717000</v>
      </c>
      <c r="K23" s="60">
        <v>60799000</v>
      </c>
      <c r="L23" s="60">
        <v>32869000</v>
      </c>
      <c r="M23" s="71"/>
      <c r="N23" s="79"/>
      <c r="O23" s="79"/>
    </row>
    <row r="24" spans="1:15" x14ac:dyDescent="0.25">
      <c r="A24" s="51"/>
      <c r="B24" s="58"/>
      <c r="C24" s="59"/>
      <c r="D24" s="52"/>
      <c r="E24" s="59"/>
      <c r="M24" s="67"/>
    </row>
    <row r="25" spans="1:15" x14ac:dyDescent="0.25">
      <c r="A25" s="51" t="s">
        <v>66</v>
      </c>
      <c r="B25" s="49" t="s">
        <v>67</v>
      </c>
      <c r="C25" s="59">
        <v>202478081</v>
      </c>
      <c r="D25" s="59">
        <v>132454452</v>
      </c>
      <c r="E25" s="52">
        <v>180038945</v>
      </c>
      <c r="F25" s="60">
        <v>165668206</v>
      </c>
      <c r="G25" s="60">
        <v>139539321</v>
      </c>
      <c r="H25" s="60">
        <v>84914000</v>
      </c>
      <c r="I25" s="60">
        <v>164403000</v>
      </c>
      <c r="J25" s="60">
        <v>109038000</v>
      </c>
      <c r="K25" s="60">
        <v>55870000</v>
      </c>
      <c r="L25" s="60">
        <v>70022000</v>
      </c>
      <c r="M25" s="71"/>
    </row>
    <row r="26" spans="1:15" x14ac:dyDescent="0.25">
      <c r="A26" s="51"/>
      <c r="B26" s="58"/>
      <c r="C26" s="59"/>
      <c r="D26" s="59"/>
      <c r="E26" s="59"/>
      <c r="M26" s="67"/>
    </row>
    <row r="27" spans="1:15" x14ac:dyDescent="0.25">
      <c r="A27" s="51" t="s">
        <v>68</v>
      </c>
      <c r="B27" s="49" t="s">
        <v>69</v>
      </c>
      <c r="C27" s="59">
        <v>202696657</v>
      </c>
      <c r="D27" s="59">
        <v>133079593</v>
      </c>
      <c r="E27" s="59">
        <v>183752059</v>
      </c>
      <c r="F27" s="60">
        <v>162190139</v>
      </c>
      <c r="G27" s="60">
        <v>135825141</v>
      </c>
      <c r="H27" s="60">
        <v>84343000</v>
      </c>
      <c r="I27" s="60">
        <v>160029000</v>
      </c>
      <c r="J27" s="60">
        <v>107443000</v>
      </c>
      <c r="K27" s="60">
        <v>54309000</v>
      </c>
      <c r="L27" s="60">
        <v>69893000</v>
      </c>
      <c r="M27" s="71"/>
    </row>
    <row r="28" spans="1:15" x14ac:dyDescent="0.25">
      <c r="A28" s="51" t="s">
        <v>70</v>
      </c>
      <c r="B28" s="49" t="s">
        <v>71</v>
      </c>
      <c r="C28" s="59">
        <v>38550350</v>
      </c>
      <c r="D28" s="59">
        <v>25578750</v>
      </c>
      <c r="E28" s="59">
        <v>30790182</v>
      </c>
      <c r="F28" s="60">
        <v>54287346</v>
      </c>
      <c r="G28" s="60">
        <v>57550650</v>
      </c>
      <c r="H28" s="60">
        <v>63615000</v>
      </c>
      <c r="I28" s="60">
        <v>34278000</v>
      </c>
      <c r="J28" s="60">
        <v>43966000</v>
      </c>
      <c r="K28" s="60">
        <v>45413000</v>
      </c>
      <c r="L28" s="60">
        <v>44814000</v>
      </c>
      <c r="M28" s="71"/>
    </row>
    <row r="29" spans="1:15" x14ac:dyDescent="0.25">
      <c r="A29" s="51" t="s">
        <v>72</v>
      </c>
      <c r="B29" s="49" t="s">
        <v>73</v>
      </c>
      <c r="C29" s="76">
        <v>16360013</v>
      </c>
      <c r="D29" s="59">
        <v>7782372</v>
      </c>
      <c r="E29" s="59">
        <v>18029760</v>
      </c>
      <c r="F29" s="60">
        <v>25543515</v>
      </c>
      <c r="G29" s="60">
        <v>13007255</v>
      </c>
      <c r="H29" s="60">
        <v>9692000</v>
      </c>
      <c r="I29" s="60">
        <v>19149000</v>
      </c>
      <c r="J29" s="60">
        <v>10853000</v>
      </c>
      <c r="K29" s="60">
        <v>16441000</v>
      </c>
      <c r="L29" s="60">
        <v>2635000</v>
      </c>
      <c r="M29" s="71"/>
    </row>
    <row r="31" spans="1:15" x14ac:dyDescent="0.25">
      <c r="A31" s="56" t="s">
        <v>183</v>
      </c>
      <c r="D31" s="60"/>
      <c r="E31" s="78"/>
    </row>
    <row r="32" spans="1:15" x14ac:dyDescent="0.25">
      <c r="E32" s="60"/>
    </row>
    <row r="33" spans="3:5" x14ac:dyDescent="0.25">
      <c r="C33" s="84"/>
      <c r="D33" s="84"/>
      <c r="E33" s="59"/>
    </row>
    <row r="34" spans="3:5" x14ac:dyDescent="0.25">
      <c r="C34" s="60"/>
      <c r="D34" s="60"/>
      <c r="E34" s="5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L24" sqref="L24"/>
    </sheetView>
  </sheetViews>
  <sheetFormatPr baseColWidth="10" defaultRowHeight="12.75" x14ac:dyDescent="0.2"/>
  <cols>
    <col min="1" max="1" width="19.140625" style="1" customWidth="1"/>
    <col min="2" max="2" width="15.28515625" style="49" customWidth="1"/>
    <col min="3" max="3" width="14.85546875" style="1" customWidth="1"/>
    <col min="4" max="4" width="16.85546875" style="1" bestFit="1" customWidth="1"/>
    <col min="5" max="7" width="15.7109375" style="1" bestFit="1" customWidth="1"/>
    <col min="8" max="8" width="14.28515625" style="1" bestFit="1" customWidth="1"/>
    <col min="9" max="9" width="15.7109375" style="1" bestFit="1" customWidth="1"/>
    <col min="10" max="10" width="14.85546875" style="1" bestFit="1" customWidth="1"/>
    <col min="11" max="15" width="11.42578125" style="1"/>
    <col min="16" max="16" width="12.85546875" style="1" bestFit="1" customWidth="1"/>
    <col min="17" max="16384" width="11.42578125" style="1"/>
  </cols>
  <sheetData>
    <row r="1" spans="1:19" ht="15.75" x14ac:dyDescent="0.25">
      <c r="A1" s="18" t="s">
        <v>11</v>
      </c>
      <c r="B1" s="55"/>
      <c r="C1" s="18"/>
      <c r="D1" s="18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9" ht="15.75" x14ac:dyDescent="0.25">
      <c r="A2" s="18" t="s">
        <v>184</v>
      </c>
      <c r="B2" s="55"/>
      <c r="C2" s="18"/>
      <c r="D2" s="18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9" ht="15.75" x14ac:dyDescent="0.25">
      <c r="A3" s="18" t="s">
        <v>12</v>
      </c>
      <c r="B3" s="55"/>
      <c r="C3" s="18"/>
      <c r="D3" s="18"/>
      <c r="E3" s="14"/>
      <c r="F3" s="14"/>
      <c r="G3" s="14"/>
      <c r="H3" s="14"/>
      <c r="I3" s="14"/>
      <c r="J3" s="14"/>
      <c r="K3" s="14"/>
      <c r="L3" s="14"/>
      <c r="M3" s="14"/>
      <c r="N3" s="14"/>
    </row>
    <row r="6" spans="1:19" ht="15" x14ac:dyDescent="0.25">
      <c r="A6" s="17" t="s">
        <v>13</v>
      </c>
      <c r="B6" s="5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9" ht="15" x14ac:dyDescent="0.25">
      <c r="A7" s="14"/>
      <c r="B7" s="54" t="s">
        <v>14</v>
      </c>
      <c r="C7" s="17"/>
      <c r="E7" s="17"/>
      <c r="F7" s="17"/>
      <c r="G7" s="17"/>
      <c r="H7" s="17"/>
      <c r="I7" s="86"/>
      <c r="J7" s="90"/>
      <c r="K7" s="91" t="s">
        <v>15</v>
      </c>
      <c r="L7" s="14"/>
      <c r="M7" s="14"/>
      <c r="N7" s="14"/>
      <c r="O7" s="14"/>
    </row>
    <row r="8" spans="1:19" x14ac:dyDescent="0.2">
      <c r="A8" s="15" t="s">
        <v>16</v>
      </c>
      <c r="B8" s="24">
        <v>2016</v>
      </c>
      <c r="C8" s="20">
        <v>2015</v>
      </c>
      <c r="D8" s="20">
        <v>2014</v>
      </c>
      <c r="E8" s="20">
        <v>2013</v>
      </c>
      <c r="F8" s="20">
        <v>2012</v>
      </c>
      <c r="G8" s="20">
        <v>2011</v>
      </c>
      <c r="H8" s="21">
        <v>2010</v>
      </c>
      <c r="I8" s="23">
        <v>2009</v>
      </c>
      <c r="J8" s="65">
        <v>2008</v>
      </c>
      <c r="K8" s="24">
        <v>2016</v>
      </c>
      <c r="L8" s="24">
        <v>2015</v>
      </c>
      <c r="M8" s="24">
        <v>2014</v>
      </c>
      <c r="N8" s="22">
        <v>2013</v>
      </c>
      <c r="O8" s="22">
        <v>2012</v>
      </c>
      <c r="P8" s="20">
        <v>2011</v>
      </c>
      <c r="Q8" s="21">
        <v>2010</v>
      </c>
      <c r="R8" s="21">
        <v>2009</v>
      </c>
      <c r="S8" s="21">
        <v>2008</v>
      </c>
    </row>
    <row r="9" spans="1:19" ht="15" x14ac:dyDescent="0.25">
      <c r="A9" s="15" t="s">
        <v>17</v>
      </c>
      <c r="B9" s="59">
        <v>4733237.2470000004</v>
      </c>
      <c r="C9" s="71">
        <v>6843962.0939999996</v>
      </c>
      <c r="D9" s="71">
        <v>5614356.0109999999</v>
      </c>
      <c r="E9" s="71">
        <v>6432898</v>
      </c>
      <c r="F9" s="71">
        <v>5911560</v>
      </c>
      <c r="G9" s="71">
        <v>5696156</v>
      </c>
      <c r="H9" s="74">
        <v>6134047</v>
      </c>
      <c r="I9" s="69">
        <v>5295830</v>
      </c>
      <c r="J9" s="73">
        <v>4999228</v>
      </c>
      <c r="K9" s="59">
        <v>5635975.3969999999</v>
      </c>
      <c r="L9" s="71">
        <f>7305084955/1000</f>
        <v>7305084.9550000001</v>
      </c>
      <c r="M9" s="71">
        <f>5450640089/1000</f>
        <v>5450640.0889999997</v>
      </c>
      <c r="N9" s="62">
        <f>267380+5152963</f>
        <v>5420343</v>
      </c>
      <c r="O9" s="68">
        <v>4760149.2589999996</v>
      </c>
      <c r="P9" s="71">
        <v>4589165</v>
      </c>
      <c r="Q9" s="74">
        <v>4810659</v>
      </c>
      <c r="R9" s="74">
        <v>4988996</v>
      </c>
      <c r="S9" s="74">
        <v>4187179</v>
      </c>
    </row>
    <row r="10" spans="1:19" ht="15" x14ac:dyDescent="0.25">
      <c r="A10" s="15" t="s">
        <v>18</v>
      </c>
      <c r="B10" s="59">
        <v>7387150.4079999998</v>
      </c>
      <c r="C10" s="71">
        <v>7569455.4110000003</v>
      </c>
      <c r="D10" s="71">
        <v>6096516.6090000002</v>
      </c>
      <c r="E10" s="71">
        <v>6536198</v>
      </c>
      <c r="F10" s="71">
        <v>6488485</v>
      </c>
      <c r="G10" s="71">
        <v>6096671</v>
      </c>
      <c r="H10" s="74">
        <v>5410144</v>
      </c>
      <c r="I10" s="69">
        <v>6690849</v>
      </c>
      <c r="J10" s="73">
        <v>4892767</v>
      </c>
      <c r="K10" s="59">
        <v>1206558.7339999999</v>
      </c>
      <c r="L10" s="71">
        <f>1214791588/1000</f>
        <v>1214791.588</v>
      </c>
      <c r="M10" s="71">
        <f>1261000968/1000</f>
        <v>1261000.9680000001</v>
      </c>
      <c r="N10" s="62">
        <v>1266235</v>
      </c>
      <c r="O10" s="68">
        <v>1033827.432</v>
      </c>
      <c r="P10" s="71">
        <v>637801</v>
      </c>
      <c r="Q10" s="74">
        <v>518513</v>
      </c>
      <c r="R10" s="74">
        <v>994889</v>
      </c>
      <c r="S10" s="74">
        <v>1665824</v>
      </c>
    </row>
    <row r="11" spans="1:19" ht="15" x14ac:dyDescent="0.25">
      <c r="A11" s="15" t="s">
        <v>19</v>
      </c>
      <c r="B11" s="59">
        <v>10025450.214</v>
      </c>
      <c r="C11" s="71">
        <v>10923978.013</v>
      </c>
      <c r="D11" s="71">
        <v>9530350.3780000005</v>
      </c>
      <c r="E11" s="71">
        <v>8347502</v>
      </c>
      <c r="F11" s="71">
        <v>8615305</v>
      </c>
      <c r="G11" s="71">
        <v>6326356</v>
      </c>
      <c r="H11" s="74">
        <v>6191279</v>
      </c>
      <c r="I11" s="69">
        <v>6208247</v>
      </c>
      <c r="J11" s="73">
        <v>5864115</v>
      </c>
      <c r="K11" s="59">
        <v>468965.511</v>
      </c>
      <c r="L11" s="71">
        <v>681006.48899999994</v>
      </c>
      <c r="M11" s="71">
        <f>769129487/1000</f>
        <v>769129.48699999996</v>
      </c>
      <c r="N11" s="62">
        <v>655702</v>
      </c>
      <c r="O11" s="68">
        <v>530325.90300000005</v>
      </c>
      <c r="P11" s="71">
        <v>864283</v>
      </c>
      <c r="Q11" s="74">
        <v>813835</v>
      </c>
      <c r="R11" s="74">
        <v>446381</v>
      </c>
      <c r="S11" s="74">
        <v>411807</v>
      </c>
    </row>
    <row r="12" spans="1:19" ht="15" x14ac:dyDescent="0.25">
      <c r="A12" s="15" t="s">
        <v>20</v>
      </c>
      <c r="B12" s="59">
        <v>1705324.385</v>
      </c>
      <c r="C12" s="71">
        <f>1415260848/1000</f>
        <v>1415260.848</v>
      </c>
      <c r="D12" s="71">
        <f>1315980873/1000</f>
        <v>1315980.8729999999</v>
      </c>
      <c r="E12" s="71">
        <v>1318784</v>
      </c>
      <c r="F12" s="71">
        <v>2559425</v>
      </c>
      <c r="G12" s="71">
        <v>923308</v>
      </c>
      <c r="H12" s="74">
        <v>1093554</v>
      </c>
      <c r="I12" s="69">
        <v>1154586</v>
      </c>
      <c r="J12" s="73">
        <v>1922623</v>
      </c>
      <c r="K12" s="59">
        <v>26816.965</v>
      </c>
      <c r="L12" s="71">
        <f>21265/1000</f>
        <v>21.265000000000001</v>
      </c>
      <c r="M12" s="71">
        <f>154314634/1000</f>
        <v>154314.63399999999</v>
      </c>
      <c r="N12" s="62">
        <v>251110</v>
      </c>
      <c r="O12" s="68">
        <v>57936.046000000002</v>
      </c>
      <c r="P12" s="71">
        <v>8444</v>
      </c>
      <c r="Q12" s="74">
        <v>4132</v>
      </c>
      <c r="R12" s="74">
        <v>1365</v>
      </c>
      <c r="S12" s="67"/>
    </row>
    <row r="13" spans="1:19" ht="15" x14ac:dyDescent="0.25">
      <c r="A13" s="15" t="s">
        <v>7</v>
      </c>
      <c r="B13" s="53">
        <f>SUM(B9:B12)</f>
        <v>23851162.254000004</v>
      </c>
      <c r="C13" s="72">
        <f>SUM(C9:C12)</f>
        <v>26752656.366</v>
      </c>
      <c r="D13" s="72">
        <f>SUM(D9:D12)</f>
        <v>22557203.871000003</v>
      </c>
      <c r="E13" s="71">
        <v>22635383</v>
      </c>
      <c r="F13" s="71">
        <v>23574775</v>
      </c>
      <c r="G13" s="71">
        <v>19042491</v>
      </c>
      <c r="H13" s="74">
        <v>18829024</v>
      </c>
      <c r="I13" s="69">
        <v>19349512</v>
      </c>
      <c r="J13" s="73">
        <v>17678733</v>
      </c>
      <c r="K13" s="92">
        <f>SUM(K9:K12)</f>
        <v>7338316.6069999998</v>
      </c>
      <c r="L13" s="71">
        <f>SUM(L9:L12)</f>
        <v>9200904.2970000003</v>
      </c>
      <c r="M13" s="71">
        <f>SUM(M9:M12)</f>
        <v>7635085.1779999994</v>
      </c>
      <c r="N13" s="62">
        <f>SUM(N9:N12)</f>
        <v>7593390</v>
      </c>
      <c r="O13" s="68">
        <v>6382238.6399999997</v>
      </c>
      <c r="P13" s="71">
        <v>6099693</v>
      </c>
      <c r="Q13" s="74">
        <v>6147139</v>
      </c>
      <c r="R13" s="74">
        <v>6431631</v>
      </c>
      <c r="S13" s="74">
        <v>6264810</v>
      </c>
    </row>
    <row r="14" spans="1:19" ht="15" x14ac:dyDescent="0.25">
      <c r="A14" s="14"/>
      <c r="B14" s="78"/>
      <c r="C14" s="77"/>
      <c r="D14" s="14"/>
      <c r="E14" s="80"/>
      <c r="F14" s="14"/>
      <c r="G14" s="14"/>
      <c r="H14" s="14"/>
      <c r="I14" s="14"/>
      <c r="J14" s="14"/>
      <c r="K14" s="99"/>
      <c r="L14" s="99"/>
      <c r="M14" s="14"/>
      <c r="N14" s="14"/>
      <c r="O14" s="14"/>
    </row>
    <row r="15" spans="1:19" ht="15" x14ac:dyDescent="0.25">
      <c r="A15" s="14"/>
      <c r="B15" s="87"/>
      <c r="C15" s="76"/>
      <c r="D15" s="59"/>
      <c r="E15" s="79"/>
      <c r="F15" s="14"/>
      <c r="G15" s="14"/>
      <c r="H15" s="14"/>
      <c r="I15" s="14"/>
      <c r="J15" s="14"/>
      <c r="K15" s="14"/>
      <c r="L15" s="79"/>
      <c r="M15" s="14"/>
      <c r="N15" s="14"/>
      <c r="O15" s="14"/>
    </row>
    <row r="16" spans="1:19" ht="15" x14ac:dyDescent="0.25">
      <c r="A16" s="17" t="s">
        <v>21</v>
      </c>
      <c r="B16" s="54"/>
      <c r="C16" s="5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9" ht="15" x14ac:dyDescent="0.25">
      <c r="A17" s="14"/>
      <c r="B17" s="54" t="s">
        <v>22</v>
      </c>
      <c r="D17" s="17"/>
      <c r="F17" s="17"/>
      <c r="G17" s="17"/>
      <c r="H17" s="17"/>
      <c r="I17" s="17"/>
      <c r="J17" s="63"/>
      <c r="K17" s="24" t="s">
        <v>23</v>
      </c>
      <c r="M17" s="17"/>
      <c r="N17" s="17"/>
      <c r="O17" s="17"/>
      <c r="P17" s="14"/>
      <c r="Q17" s="14"/>
    </row>
    <row r="18" spans="1:19" ht="15" x14ac:dyDescent="0.25">
      <c r="A18" s="14"/>
      <c r="B18" s="24">
        <v>2016</v>
      </c>
      <c r="C18" s="54">
        <v>2015</v>
      </c>
      <c r="D18" s="54">
        <v>2014</v>
      </c>
      <c r="E18" s="17">
        <v>2013</v>
      </c>
      <c r="F18" s="17">
        <v>2012</v>
      </c>
      <c r="G18" s="17">
        <v>2011</v>
      </c>
      <c r="H18" s="17">
        <v>2010</v>
      </c>
      <c r="I18" s="24">
        <v>2009</v>
      </c>
      <c r="J18" s="64">
        <v>2008</v>
      </c>
      <c r="K18" s="24">
        <v>2016</v>
      </c>
      <c r="L18" s="24">
        <v>2015</v>
      </c>
      <c r="M18" s="24">
        <v>2014</v>
      </c>
      <c r="N18" s="24">
        <v>2013</v>
      </c>
      <c r="O18" s="24">
        <v>2012</v>
      </c>
      <c r="P18" s="17">
        <v>2011</v>
      </c>
      <c r="Q18" s="17">
        <v>2010</v>
      </c>
      <c r="R18" s="17">
        <v>2009</v>
      </c>
      <c r="S18" s="17">
        <v>2008</v>
      </c>
    </row>
    <row r="19" spans="1:19" ht="15" x14ac:dyDescent="0.25">
      <c r="A19" s="15" t="s">
        <v>24</v>
      </c>
      <c r="B19" s="59">
        <v>2728669.861</v>
      </c>
      <c r="C19" s="68">
        <f>2676322965/1000</f>
        <v>2676322.9649999999</v>
      </c>
      <c r="D19" s="68">
        <f>2228245503/1000</f>
        <v>2228245.503</v>
      </c>
      <c r="E19" s="71">
        <v>3784980</v>
      </c>
      <c r="F19" s="71">
        <v>2561895</v>
      </c>
      <c r="G19" s="71">
        <v>1516969</v>
      </c>
      <c r="H19" s="74">
        <v>1303158</v>
      </c>
      <c r="I19" s="69">
        <v>1096979</v>
      </c>
      <c r="J19" s="70">
        <v>1228881</v>
      </c>
      <c r="K19" s="69">
        <v>207028.136</v>
      </c>
      <c r="L19" s="68">
        <v>269793.47600000002</v>
      </c>
      <c r="M19" s="68">
        <f>386821586/1000</f>
        <v>386821.58600000001</v>
      </c>
      <c r="N19" s="71">
        <v>389762</v>
      </c>
      <c r="O19" s="69">
        <v>308372</v>
      </c>
      <c r="P19" s="71">
        <v>275319</v>
      </c>
      <c r="Q19" s="74">
        <v>342955</v>
      </c>
      <c r="R19" s="74">
        <v>598761</v>
      </c>
      <c r="S19" s="67"/>
    </row>
    <row r="20" spans="1:19" ht="15" x14ac:dyDescent="0.25">
      <c r="A20" s="15" t="s">
        <v>25</v>
      </c>
      <c r="B20" s="52">
        <v>201537.92499999999</v>
      </c>
      <c r="C20" s="59">
        <v>341312.52</v>
      </c>
      <c r="D20" s="71">
        <f>204653173/1000</f>
        <v>204653.17300000001</v>
      </c>
      <c r="E20" s="71">
        <v>197201</v>
      </c>
      <c r="F20" s="71">
        <v>82068</v>
      </c>
      <c r="G20" s="71"/>
      <c r="H20" s="67"/>
      <c r="I20" s="66"/>
      <c r="J20" s="70">
        <v>390714</v>
      </c>
      <c r="K20" s="59">
        <v>306011.46799999999</v>
      </c>
      <c r="L20" s="68">
        <v>221427.49</v>
      </c>
      <c r="M20" s="68">
        <f>587337354/1000</f>
        <v>587337.35400000005</v>
      </c>
      <c r="N20" s="68">
        <f>422187482/1000</f>
        <v>422187.48200000002</v>
      </c>
      <c r="O20" s="69">
        <v>152903.81</v>
      </c>
      <c r="P20" s="71">
        <v>102735</v>
      </c>
      <c r="Q20" s="74">
        <v>201666</v>
      </c>
      <c r="R20" s="74">
        <v>94863</v>
      </c>
      <c r="S20" s="74">
        <v>228056</v>
      </c>
    </row>
    <row r="21" spans="1:19" ht="15" x14ac:dyDescent="0.25">
      <c r="A21" s="16" t="s">
        <v>26</v>
      </c>
      <c r="B21" s="1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9" ht="15" x14ac:dyDescent="0.25">
      <c r="A22" s="16" t="s">
        <v>27</v>
      </c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5" spans="1:19" ht="15" x14ac:dyDescent="0.25">
      <c r="B25" s="87"/>
      <c r="C25" s="87"/>
      <c r="D25" s="87"/>
    </row>
    <row r="26" spans="1:19" ht="15" x14ac:dyDescent="0.25">
      <c r="B26" s="87"/>
      <c r="C26" s="59"/>
      <c r="D26" s="59"/>
      <c r="E26" s="76"/>
      <c r="F26" s="76"/>
      <c r="G26" s="76"/>
      <c r="H26" s="76"/>
      <c r="I26" s="76"/>
    </row>
    <row r="27" spans="1:19" ht="15" x14ac:dyDescent="0.25">
      <c r="B27" s="1"/>
      <c r="C27" s="59"/>
      <c r="D27" s="59"/>
      <c r="E27" s="59"/>
      <c r="F27" s="59"/>
      <c r="G27" s="59"/>
      <c r="H27" s="59"/>
      <c r="I27" s="59"/>
      <c r="J27" s="53"/>
    </row>
    <row r="28" spans="1:19" ht="15" x14ac:dyDescent="0.25">
      <c r="B28" s="1"/>
      <c r="C28" s="59"/>
      <c r="D28" s="59"/>
      <c r="E28" s="59"/>
      <c r="F28" s="59"/>
      <c r="G28" s="59"/>
      <c r="H28" s="59"/>
      <c r="I28" s="59"/>
      <c r="J28" s="53"/>
    </row>
    <row r="29" spans="1:19" ht="15" x14ac:dyDescent="0.25">
      <c r="B29" s="1"/>
      <c r="C29" s="59"/>
      <c r="D29" s="59"/>
      <c r="E29" s="78"/>
      <c r="F29" s="75"/>
      <c r="G29" s="75"/>
      <c r="H29" s="75"/>
      <c r="I29" s="75"/>
    </row>
    <row r="30" spans="1:19" ht="15" x14ac:dyDescent="0.25">
      <c r="B30" s="1"/>
      <c r="C30" s="59"/>
      <c r="D30" s="59"/>
      <c r="E30" s="75"/>
      <c r="F30" s="75"/>
      <c r="G30" s="75"/>
      <c r="H30" s="75"/>
      <c r="I30" s="75"/>
    </row>
    <row r="31" spans="1:19" ht="15" x14ac:dyDescent="0.25">
      <c r="B31" s="87"/>
      <c r="C31" s="59"/>
      <c r="D31" s="59"/>
      <c r="E31" s="75"/>
      <c r="F31" s="75"/>
      <c r="G31" s="75"/>
      <c r="H31" s="75"/>
      <c r="I31" s="75"/>
    </row>
    <row r="32" spans="1:19" ht="15" x14ac:dyDescent="0.25">
      <c r="B32" s="87"/>
      <c r="C32" s="59"/>
      <c r="D32" s="59"/>
    </row>
    <row r="33" spans="2:3" ht="15" x14ac:dyDescent="0.25">
      <c r="B33" s="87"/>
      <c r="C33" s="59"/>
    </row>
  </sheetData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workbookViewId="0">
      <selection activeCell="B11" sqref="B11"/>
    </sheetView>
  </sheetViews>
  <sheetFormatPr baseColWidth="10" defaultRowHeight="12.75" x14ac:dyDescent="0.2"/>
  <cols>
    <col min="1" max="1" width="27.28515625" style="1" customWidth="1"/>
    <col min="2" max="2" width="12.140625" style="25" customWidth="1"/>
    <col min="3" max="10" width="12.140625" style="1" customWidth="1"/>
    <col min="11" max="16384" width="11.42578125" style="1"/>
  </cols>
  <sheetData>
    <row r="2" spans="1:17" ht="15.75" x14ac:dyDescent="0.25">
      <c r="A2" s="31" t="s">
        <v>30</v>
      </c>
      <c r="B2" s="31"/>
    </row>
    <row r="3" spans="1:17" ht="15.75" x14ac:dyDescent="0.25">
      <c r="A3" s="31"/>
      <c r="B3" s="31"/>
    </row>
    <row r="4" spans="1:17" ht="15.75" x14ac:dyDescent="0.25">
      <c r="A4" s="31" t="s">
        <v>12</v>
      </c>
      <c r="B4" s="31"/>
    </row>
    <row r="7" spans="1:17" x14ac:dyDescent="0.2">
      <c r="A7" s="29" t="s">
        <v>28</v>
      </c>
      <c r="B7" s="54">
        <v>2016</v>
      </c>
      <c r="C7" s="54">
        <v>2015</v>
      </c>
      <c r="D7" s="54">
        <v>2014</v>
      </c>
      <c r="E7" s="29">
        <v>2013</v>
      </c>
      <c r="F7" s="29">
        <v>2012</v>
      </c>
      <c r="G7" s="29">
        <v>2011</v>
      </c>
      <c r="H7" s="29">
        <v>2010</v>
      </c>
      <c r="I7" s="29">
        <v>2009</v>
      </c>
      <c r="J7" s="29">
        <v>2008</v>
      </c>
      <c r="K7" s="29">
        <v>2007</v>
      </c>
      <c r="L7" s="29">
        <v>2005</v>
      </c>
      <c r="M7" s="29">
        <v>2004</v>
      </c>
      <c r="N7" s="49"/>
      <c r="O7" s="20"/>
      <c r="P7" s="20"/>
      <c r="Q7" s="20"/>
    </row>
    <row r="8" spans="1:17" ht="15" x14ac:dyDescent="0.25">
      <c r="A8" s="25" t="s">
        <v>17</v>
      </c>
      <c r="B8" s="38">
        <v>4733237.2470000004</v>
      </c>
      <c r="C8" s="71">
        <f>6843962094/1000</f>
        <v>6843962.0939999996</v>
      </c>
      <c r="D8" s="71">
        <f>5614356011/1000</f>
        <v>5614356.0109999999</v>
      </c>
      <c r="E8" s="71">
        <v>6432898</v>
      </c>
      <c r="F8" s="38">
        <v>5911560</v>
      </c>
      <c r="G8" s="27">
        <v>5696156</v>
      </c>
      <c r="H8" s="26">
        <v>6134047</v>
      </c>
      <c r="I8" s="26">
        <v>5295830</v>
      </c>
      <c r="J8" s="26">
        <v>4999228</v>
      </c>
      <c r="K8" s="26">
        <v>4931919</v>
      </c>
      <c r="L8" s="26">
        <v>4421000</v>
      </c>
      <c r="M8" s="26">
        <v>3799000</v>
      </c>
      <c r="N8" s="49"/>
      <c r="O8" s="71"/>
      <c r="P8" s="71"/>
      <c r="Q8" s="71"/>
    </row>
    <row r="9" spans="1:17" ht="15" x14ac:dyDescent="0.25">
      <c r="A9" s="25" t="s">
        <v>18</v>
      </c>
      <c r="B9" s="38">
        <v>7387150.4079999998</v>
      </c>
      <c r="C9" s="71">
        <f>7569455411/1000</f>
        <v>7569455.4110000003</v>
      </c>
      <c r="D9" s="71">
        <f>6096516609/1000</f>
        <v>6096516.6090000002</v>
      </c>
      <c r="E9" s="71">
        <v>6536198</v>
      </c>
      <c r="F9" s="38">
        <v>6488485</v>
      </c>
      <c r="G9" s="27">
        <v>6096671</v>
      </c>
      <c r="H9" s="26">
        <v>5410144</v>
      </c>
      <c r="I9" s="26">
        <v>6690849</v>
      </c>
      <c r="J9" s="26">
        <v>4892767</v>
      </c>
      <c r="K9" s="26">
        <v>5411363</v>
      </c>
      <c r="L9" s="26">
        <v>5255000</v>
      </c>
      <c r="M9" s="26">
        <v>5552000</v>
      </c>
      <c r="N9" s="49"/>
      <c r="O9" s="71"/>
      <c r="P9" s="71"/>
      <c r="Q9" s="71"/>
    </row>
    <row r="10" spans="1:17" ht="15" x14ac:dyDescent="0.25">
      <c r="A10" s="25" t="s">
        <v>19</v>
      </c>
      <c r="B10" s="38">
        <v>10025450.214</v>
      </c>
      <c r="C10" s="71">
        <f>10923978013/1000</f>
        <v>10923978.013</v>
      </c>
      <c r="D10" s="71">
        <f>9530350378/1000</f>
        <v>9530350.3780000005</v>
      </c>
      <c r="E10" s="71">
        <v>8347502</v>
      </c>
      <c r="F10" s="38">
        <v>8615305</v>
      </c>
      <c r="G10" s="27">
        <v>6326356</v>
      </c>
      <c r="H10" s="26">
        <v>6191279</v>
      </c>
      <c r="I10" s="26">
        <v>6208247</v>
      </c>
      <c r="J10" s="26">
        <v>5864115</v>
      </c>
      <c r="K10" s="26">
        <v>5092078</v>
      </c>
      <c r="L10" s="26">
        <v>4224000</v>
      </c>
      <c r="M10" s="26">
        <v>5009000</v>
      </c>
      <c r="N10" s="49"/>
      <c r="O10" s="71"/>
      <c r="P10" s="71"/>
      <c r="Q10" s="71"/>
    </row>
    <row r="11" spans="1:17" x14ac:dyDescent="0.2">
      <c r="A11" s="25" t="s">
        <v>29</v>
      </c>
      <c r="B11" s="53">
        <f>SUM(B8:B10)</f>
        <v>22145837.869000003</v>
      </c>
      <c r="C11" s="52">
        <f>SUM(C8:C10)</f>
        <v>25337395.517999999</v>
      </c>
      <c r="D11" s="52">
        <f>SUM(D8:D10)</f>
        <v>21241222.998000003</v>
      </c>
      <c r="E11" s="52">
        <f>SUM(E8:E10)</f>
        <v>21316598</v>
      </c>
      <c r="F11" s="27">
        <v>21015648.215</v>
      </c>
      <c r="G11" s="28">
        <v>18119183</v>
      </c>
      <c r="H11" s="26">
        <v>17735470</v>
      </c>
      <c r="I11" s="26">
        <v>18196935</v>
      </c>
      <c r="J11" s="26">
        <v>15756110</v>
      </c>
      <c r="K11" s="26">
        <v>15435361</v>
      </c>
      <c r="L11" s="26">
        <v>13900000</v>
      </c>
      <c r="M11" s="26">
        <v>14360000</v>
      </c>
    </row>
    <row r="15" spans="1:17" ht="15" x14ac:dyDescent="0.25">
      <c r="C15" s="38"/>
    </row>
    <row r="16" spans="1:17" ht="15" x14ac:dyDescent="0.25">
      <c r="C16" s="38"/>
    </row>
    <row r="17" spans="2:3" ht="15" x14ac:dyDescent="0.25">
      <c r="C17" s="38"/>
    </row>
    <row r="18" spans="2:3" ht="15" x14ac:dyDescent="0.25">
      <c r="B18" s="38"/>
      <c r="C18" s="38"/>
    </row>
    <row r="19" spans="2:3" x14ac:dyDescent="0.2">
      <c r="B19" s="19"/>
      <c r="C19" s="19"/>
    </row>
  </sheetData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41" sqref="A41"/>
    </sheetView>
  </sheetViews>
  <sheetFormatPr baseColWidth="10" defaultRowHeight="12.75" x14ac:dyDescent="0.2"/>
  <cols>
    <col min="1" max="1" width="56.7109375" style="1" customWidth="1"/>
    <col min="2" max="2" width="10.42578125" style="49" customWidth="1"/>
    <col min="3" max="3" width="11.42578125" style="4"/>
    <col min="4" max="16384" width="11.42578125" style="1"/>
  </cols>
  <sheetData>
    <row r="1" spans="1:14" ht="15.75" x14ac:dyDescent="0.25">
      <c r="A1" s="13" t="s">
        <v>9</v>
      </c>
      <c r="B1" s="55"/>
    </row>
    <row r="2" spans="1:14" ht="15.75" x14ac:dyDescent="0.25">
      <c r="A2" s="13"/>
      <c r="B2" s="55"/>
    </row>
    <row r="3" spans="1:14" ht="15.75" x14ac:dyDescent="0.25">
      <c r="A3" s="13" t="s">
        <v>10</v>
      </c>
      <c r="B3" s="55"/>
    </row>
    <row r="4" spans="1:14" x14ac:dyDescent="0.2">
      <c r="A4" s="3" t="s">
        <v>0</v>
      </c>
      <c r="B4" s="54">
        <v>2016</v>
      </c>
      <c r="C4" s="54">
        <v>2015</v>
      </c>
      <c r="D4" s="54">
        <v>2014</v>
      </c>
      <c r="E4" s="5">
        <v>2013</v>
      </c>
      <c r="F4" s="5">
        <v>2012</v>
      </c>
      <c r="G4" s="5">
        <v>2011</v>
      </c>
      <c r="H4" s="5">
        <v>2010</v>
      </c>
      <c r="I4" s="5">
        <v>2009</v>
      </c>
      <c r="J4" s="5">
        <v>2008</v>
      </c>
      <c r="K4" s="5">
        <v>2007</v>
      </c>
      <c r="L4" s="5">
        <v>2006</v>
      </c>
      <c r="M4" s="5">
        <v>2005</v>
      </c>
      <c r="N4" s="5">
        <v>2004</v>
      </c>
    </row>
    <row r="5" spans="1:14" x14ac:dyDescent="0.2">
      <c r="A5" s="2" t="s">
        <v>1</v>
      </c>
      <c r="B5" s="49">
        <v>65</v>
      </c>
      <c r="C5" s="49">
        <v>62</v>
      </c>
      <c r="D5" s="49">
        <v>60</v>
      </c>
      <c r="E5" s="4">
        <f>96-36</f>
        <v>60</v>
      </c>
      <c r="F5" s="7">
        <v>63</v>
      </c>
      <c r="G5" s="8">
        <v>66</v>
      </c>
      <c r="H5" s="7">
        <v>62</v>
      </c>
      <c r="I5" s="7">
        <v>65</v>
      </c>
      <c r="J5" s="7">
        <v>67</v>
      </c>
      <c r="K5" s="7">
        <v>60</v>
      </c>
      <c r="L5" s="7">
        <v>65</v>
      </c>
      <c r="M5" s="7">
        <v>51</v>
      </c>
      <c r="N5" s="7">
        <v>46</v>
      </c>
    </row>
    <row r="6" spans="1:14" ht="15" x14ac:dyDescent="0.25">
      <c r="A6" s="2" t="s">
        <v>2</v>
      </c>
      <c r="B6" s="49">
        <v>10</v>
      </c>
      <c r="C6" s="49">
        <v>12</v>
      </c>
      <c r="D6" s="49">
        <v>15</v>
      </c>
      <c r="E6" s="4">
        <f>47-35</f>
        <v>12</v>
      </c>
      <c r="F6" s="7">
        <v>11</v>
      </c>
      <c r="G6" s="8">
        <v>10</v>
      </c>
      <c r="H6" s="7">
        <v>8</v>
      </c>
      <c r="I6" s="7">
        <v>9</v>
      </c>
      <c r="J6" s="7">
        <v>8</v>
      </c>
      <c r="K6" s="7">
        <v>6</v>
      </c>
      <c r="L6" s="7">
        <v>2</v>
      </c>
      <c r="M6" s="6"/>
      <c r="N6" s="6"/>
    </row>
    <row r="7" spans="1:14" ht="15" x14ac:dyDescent="0.25">
      <c r="A7" s="2" t="s">
        <v>3</v>
      </c>
      <c r="B7" s="49">
        <v>39</v>
      </c>
      <c r="C7" s="49">
        <v>36</v>
      </c>
      <c r="D7" s="49">
        <v>38</v>
      </c>
      <c r="E7" s="4">
        <v>35</v>
      </c>
      <c r="F7" s="7">
        <v>32</v>
      </c>
      <c r="G7" s="8">
        <v>33</v>
      </c>
      <c r="H7" s="7">
        <v>30</v>
      </c>
      <c r="I7" s="7">
        <v>32</v>
      </c>
      <c r="J7" s="7">
        <v>30</v>
      </c>
      <c r="K7" s="7">
        <v>30</v>
      </c>
      <c r="L7" s="7">
        <v>6</v>
      </c>
      <c r="M7" s="6"/>
      <c r="N7" s="6"/>
    </row>
    <row r="8" spans="1:14" x14ac:dyDescent="0.2">
      <c r="A8" s="2" t="s">
        <v>4</v>
      </c>
      <c r="B8" s="49">
        <f>SUM(B5:B7)</f>
        <v>114</v>
      </c>
      <c r="C8" s="49">
        <f>SUM(C5:C7)</f>
        <v>110</v>
      </c>
      <c r="D8" s="49">
        <f>SUM(D5:D7)</f>
        <v>113</v>
      </c>
      <c r="E8" s="4">
        <f>SUM(E5:E7)</f>
        <v>107</v>
      </c>
      <c r="F8" s="7">
        <v>106</v>
      </c>
      <c r="G8" s="8">
        <v>109</v>
      </c>
      <c r="H8" s="7">
        <v>100</v>
      </c>
      <c r="I8" s="7">
        <v>106</v>
      </c>
      <c r="J8" s="7">
        <v>105</v>
      </c>
      <c r="K8" s="7">
        <v>96</v>
      </c>
      <c r="L8" s="7">
        <v>73</v>
      </c>
      <c r="M8" s="7">
        <v>51</v>
      </c>
      <c r="N8" s="7">
        <v>46</v>
      </c>
    </row>
    <row r="9" spans="1:14" x14ac:dyDescent="0.2">
      <c r="A9" s="2" t="s">
        <v>5</v>
      </c>
      <c r="B9" s="49">
        <v>105</v>
      </c>
      <c r="C9" s="49">
        <v>99</v>
      </c>
      <c r="D9" s="49">
        <v>100</v>
      </c>
      <c r="E9" s="4">
        <v>96</v>
      </c>
      <c r="F9" s="7">
        <v>95</v>
      </c>
      <c r="G9" s="8">
        <v>99</v>
      </c>
      <c r="H9" s="7">
        <v>93</v>
      </c>
      <c r="I9" s="7">
        <v>97</v>
      </c>
      <c r="J9" s="7">
        <v>99</v>
      </c>
      <c r="K9" s="7">
        <v>91</v>
      </c>
      <c r="L9" s="7">
        <v>73</v>
      </c>
      <c r="M9" s="7">
        <v>51</v>
      </c>
      <c r="N9" s="7">
        <v>46</v>
      </c>
    </row>
    <row r="10" spans="1:14" s="7" customFormat="1" x14ac:dyDescent="0.2">
      <c r="B10" s="49"/>
      <c r="C10" s="49"/>
      <c r="D10" s="49"/>
      <c r="G10" s="8"/>
    </row>
    <row r="11" spans="1:14" x14ac:dyDescent="0.2">
      <c r="A11" s="2"/>
      <c r="B11" s="54">
        <v>2016</v>
      </c>
      <c r="C11" s="54">
        <v>2015</v>
      </c>
      <c r="D11" s="54">
        <v>2014</v>
      </c>
      <c r="E11" s="9">
        <v>2013</v>
      </c>
      <c r="F11" s="9">
        <v>2012</v>
      </c>
      <c r="G11" s="9">
        <v>2011</v>
      </c>
      <c r="H11" s="9">
        <v>2010</v>
      </c>
      <c r="I11" s="9">
        <v>2009</v>
      </c>
      <c r="J11" s="9">
        <v>2008</v>
      </c>
      <c r="K11" s="9">
        <v>2007</v>
      </c>
      <c r="L11" s="9">
        <v>2006</v>
      </c>
      <c r="M11" s="9">
        <v>2005</v>
      </c>
      <c r="N11" s="9">
        <v>2004</v>
      </c>
    </row>
    <row r="12" spans="1:14" x14ac:dyDescent="0.2">
      <c r="A12" s="2" t="s">
        <v>6</v>
      </c>
      <c r="C12" s="49"/>
      <c r="D12" s="49"/>
      <c r="E12" s="4"/>
    </row>
    <row r="13" spans="1:14" ht="15" x14ac:dyDescent="0.25">
      <c r="A13" s="2" t="s">
        <v>1</v>
      </c>
      <c r="B13" s="49">
        <f>245+249</f>
        <v>494</v>
      </c>
      <c r="C13" s="49">
        <f>285+219</f>
        <v>504</v>
      </c>
      <c r="D13" s="49">
        <v>489</v>
      </c>
      <c r="E13" s="4">
        <f>256+210+7</f>
        <v>473</v>
      </c>
      <c r="F13" s="11">
        <v>476</v>
      </c>
      <c r="G13" s="11">
        <v>470</v>
      </c>
      <c r="H13" s="11">
        <v>453</v>
      </c>
      <c r="I13" s="11">
        <v>423</v>
      </c>
      <c r="J13" s="11">
        <v>404</v>
      </c>
      <c r="K13" s="11">
        <v>328</v>
      </c>
      <c r="L13" s="10"/>
      <c r="M13" s="11">
        <v>341</v>
      </c>
      <c r="N13" s="11">
        <v>350</v>
      </c>
    </row>
    <row r="14" spans="1:14" ht="15" x14ac:dyDescent="0.25">
      <c r="A14" s="2" t="s">
        <v>2</v>
      </c>
      <c r="B14" s="49">
        <v>2</v>
      </c>
      <c r="C14" s="49">
        <v>2</v>
      </c>
      <c r="D14" s="49">
        <v>9</v>
      </c>
      <c r="E14" s="4">
        <v>2</v>
      </c>
      <c r="F14" s="11">
        <v>2</v>
      </c>
      <c r="G14" s="11">
        <v>2</v>
      </c>
      <c r="H14" s="11">
        <v>3</v>
      </c>
      <c r="I14" s="11">
        <v>3</v>
      </c>
      <c r="J14" s="11">
        <v>6</v>
      </c>
      <c r="K14" s="11">
        <v>61</v>
      </c>
      <c r="L14" s="10"/>
      <c r="M14" s="10"/>
      <c r="N14" s="10"/>
    </row>
    <row r="15" spans="1:14" ht="15" x14ac:dyDescent="0.25">
      <c r="A15" s="2" t="s">
        <v>3</v>
      </c>
      <c r="B15" s="49">
        <v>267</v>
      </c>
      <c r="C15" s="49">
        <v>235</v>
      </c>
      <c r="D15" s="49">
        <v>245</v>
      </c>
      <c r="E15" s="4">
        <v>232</v>
      </c>
      <c r="F15" s="11">
        <v>199</v>
      </c>
      <c r="G15" s="11">
        <v>190</v>
      </c>
      <c r="H15" s="11">
        <v>180</v>
      </c>
      <c r="I15" s="11">
        <v>248</v>
      </c>
      <c r="J15" s="11">
        <v>175</v>
      </c>
      <c r="K15" s="11">
        <v>157</v>
      </c>
      <c r="L15" s="10"/>
      <c r="M15" s="10"/>
      <c r="N15" s="10"/>
    </row>
    <row r="16" spans="1:14" ht="15" x14ac:dyDescent="0.25">
      <c r="A16" s="2" t="s">
        <v>7</v>
      </c>
      <c r="B16" s="49">
        <f>SUM(B13:B15)</f>
        <v>763</v>
      </c>
      <c r="C16" s="49">
        <f>SUM(C13:C15)</f>
        <v>741</v>
      </c>
      <c r="D16" s="49">
        <f>SUM(D13:D15)</f>
        <v>743</v>
      </c>
      <c r="E16" s="4">
        <f>SUM(E13:E15)</f>
        <v>707</v>
      </c>
      <c r="F16" s="11">
        <v>677</v>
      </c>
      <c r="G16" s="11">
        <v>662</v>
      </c>
      <c r="H16" s="11">
        <v>636</v>
      </c>
      <c r="I16" s="11">
        <v>674</v>
      </c>
      <c r="J16" s="11">
        <v>585</v>
      </c>
      <c r="K16" s="11">
        <v>546</v>
      </c>
      <c r="L16" s="10"/>
      <c r="M16" s="11">
        <v>341</v>
      </c>
      <c r="N16" s="11">
        <v>350</v>
      </c>
    </row>
    <row r="17" spans="1:5" x14ac:dyDescent="0.2">
      <c r="A17" s="12" t="s">
        <v>8</v>
      </c>
      <c r="E17" s="11"/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Resultat</vt:lpstr>
      <vt:lpstr>Balanse-Eiendeler</vt:lpstr>
      <vt:lpstr>Balanse-Egenkapital og gjeld</vt:lpstr>
      <vt:lpstr>Tidsserier</vt:lpstr>
      <vt:lpstr>Tidsserier-meglerforetak</vt:lpstr>
      <vt:lpstr>Premie-tidsserier</vt:lpstr>
      <vt:lpstr>Premie-tidsserier-meglerforetak</vt:lpstr>
      <vt:lpstr>Antall foretak og f.formidlere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2017-05-31T10:44:55Z</dcterms:modified>
</cp:coreProperties>
</file>